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3.xml" ContentType="application/vnd.openxmlformats-officedocument.drawing+xml"/>
  <Override PartName="/xl/ctrlProps/ctrlProp18.xml" ContentType="application/vnd.ms-excel.controlproperties+xml"/>
  <Override PartName="/xl/ctrlProps/ctrlProp19.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Z:\FSI\Réforme 2024\Nouveaux documents type\"/>
    </mc:Choice>
  </mc:AlternateContent>
  <xr:revisionPtr revIDLastSave="0" documentId="8_{C9119CF4-EBF3-41E4-AFA2-5361FB648D2C}" xr6:coauthVersionLast="47" xr6:coauthVersionMax="47" xr10:uidLastSave="{00000000-0000-0000-0000-000000000000}"/>
  <bookViews>
    <workbookView xWindow="-110" yWindow="-110" windowWidth="19420" windowHeight="10300" tabRatio="914" activeTab="2" xr2:uid="{00000000-000D-0000-FFFF-FFFF00000000}"/>
  </bookViews>
  <sheets>
    <sheet name="Administratif" sheetId="16" r:id="rId1"/>
    <sheet name="Pièces à fournir" sheetId="23" r:id="rId2"/>
    <sheet name="Plan de financement" sheetId="1" r:id="rId3"/>
    <sheet name="Formulaire" sheetId="4" r:id="rId4"/>
    <sheet name="Si inter-organisme" sheetId="11" r:id="rId5"/>
    <sheet name="Avis CPR (ar)" sheetId="18" r:id="rId6"/>
    <sheet name="Thèmes éligibles" sheetId="22" r:id="rId7"/>
    <sheet name="Calendrier" sheetId="10" r:id="rId8"/>
    <sheet name="Access" sheetId="20" state="hidden" r:id="rId9"/>
    <sheet name="Taux de financement" sheetId="3" state="hidden" r:id="rId10"/>
    <sheet name="Publipostage" sheetId="7" state="hidden" r:id="rId11"/>
    <sheet name="Paramètres" sheetId="2" state="hidden" r:id="rId12"/>
    <sheet name="Région" sheetId="9" state="hidden" r:id="rId13"/>
  </sheets>
  <externalReferences>
    <externalReference r:id="rId14"/>
  </externalReferences>
  <definedNames>
    <definedName name="_xlnm._FilterDatabase" localSheetId="7" hidden="1">Calendrier!$B$1:$E$1</definedName>
    <definedName name="_xlnm._FilterDatabase" localSheetId="12" hidden="1">Région!$A$1:$E$1</definedName>
    <definedName name="Adresse1">Administratif!$C$13</definedName>
    <definedName name="Adresse2">Administratif!$C$14</definedName>
    <definedName name="aide">'Plan de financement'!$I$69</definedName>
    <definedName name="bilan">#REF!</definedName>
    <definedName name="Calendrier">Calendrier!$B$2:$B$16</definedName>
    <definedName name="charges">Paramètres!$C$9</definedName>
    <definedName name="Codep">Administratif!$C$15</definedName>
    <definedName name="coeff">Paramètres!$C$49</definedName>
    <definedName name="CP">Formulaire!$F$26</definedName>
    <definedName name="CPR">Formulaire!$U$40</definedName>
    <definedName name="date">Administratif!$C$36</definedName>
    <definedName name="DateFSI">'Plan de financement'!$F$14</definedName>
    <definedName name="dépense">'Plan de financement'!$I$21</definedName>
    <definedName name="description">Formulaire!$E$22</definedName>
    <definedName name="DG">Administratif!$C$22</definedName>
    <definedName name="dpt">Paramètres!$C$45</definedName>
    <definedName name="durée">'Plan de financement'!$F$12</definedName>
    <definedName name="échéancier">Calendrier!$B$2:$E$10</definedName>
    <definedName name="Famille">Administratif!$C$6</definedName>
    <definedName name="FP">'Plan de financement'!$I$66</definedName>
    <definedName name="inflation">Paramètres!$C$48</definedName>
    <definedName name="instruteur">Paramètres!$B$24:$K$43</definedName>
    <definedName name="inter">'Plan de financement'!$F$6</definedName>
    <definedName name="mail">Administratif!$C$29</definedName>
    <definedName name="Pièce1">Formulaire!$U$41</definedName>
    <definedName name="Pièce10">Formulaire!$V$42</definedName>
    <definedName name="Pièce11">Formulaire!$V$43</definedName>
    <definedName name="Pièce12">Formulaire!$V$44</definedName>
    <definedName name="Pièce13">Formulaire!$V$45</definedName>
    <definedName name="Pièce2">Formulaire!$U$42</definedName>
    <definedName name="Pièce4">Formulaire!$U$43</definedName>
    <definedName name="Pièce5">Formulaire!$U$44</definedName>
    <definedName name="Pièce6">Formulaire!$U$45</definedName>
    <definedName name="Pièce7">Formulaire!$U$46</definedName>
    <definedName name="Pièce8">Formulaire!$V$40</definedName>
    <definedName name="Pièce9">Formulaire!$V$41</definedName>
    <definedName name="plafond">'Plan de financement'!$F$7</definedName>
    <definedName name="porteur">Administratif!$C$5</definedName>
    <definedName name="prestataire1">'Plan de financement'!$G$25</definedName>
    <definedName name="prestataire10">'Plan de financement'!$G$42</definedName>
    <definedName name="prestataire11">'Plan de financement'!$G$46</definedName>
    <definedName name="prestataire12">'Plan de financement'!$G$49</definedName>
    <definedName name="prestataire13">'Plan de financement'!$G$50</definedName>
    <definedName name="prestataire2">'Plan de financement'!$G$26</definedName>
    <definedName name="prestataire3">'Plan de financement'!$G$27</definedName>
    <definedName name="prestataire4">'Plan de financement'!$G$28</definedName>
    <definedName name="prestataire5">'Plan de financement'!$G$29</definedName>
    <definedName name="prestataire6">'Plan de financement'!$G$30</definedName>
    <definedName name="prestataire7">'Plan de financement'!$G$32</definedName>
    <definedName name="prestataire8">'Plan de financement'!#REF!</definedName>
    <definedName name="prestataire9">'Plan de financement'!$G$41</definedName>
    <definedName name="prestataires">Formulaire!$E$20</definedName>
    <definedName name="Projet">'Plan de financement'!$F$4</definedName>
    <definedName name="région">Région!$A$2:$E$97</definedName>
    <definedName name="Resp">Administratif!$C$27</definedName>
    <definedName name="Salaire1">'Plan de financement'!$G$54</definedName>
    <definedName name="Salaire2">'Plan de financement'!$G$57</definedName>
    <definedName name="Salaire3">'Plan de financement'!$G$60</definedName>
    <definedName name="Salaire4">'Plan de financement'!$G$63</definedName>
    <definedName name="salairemax">Paramètres!$C$50</definedName>
    <definedName name="service">Formulaire!$E$24</definedName>
    <definedName name="Siren">Administratif!$C$18</definedName>
    <definedName name="SIRET">Administratif!$C$19</definedName>
    <definedName name="taux">'Plan de financement'!$J$69</definedName>
    <definedName name="Tél">Administratif!$C$28</definedName>
    <definedName name="thème">Administratif!$C$32</definedName>
    <definedName name="Type">'Plan de financement'!$I$1</definedName>
    <definedName name="VILLE">Formulaire!$H$26</definedName>
    <definedName name="Villeols">Administratif!$C$16</definedName>
    <definedName name="_xlnm.Print_Area" localSheetId="0">Administratif!$A$1:$D$37</definedName>
    <definedName name="_xlnm.Print_Area" localSheetId="5">'Avis CPR (ar)'!$B$1:$D$53</definedName>
    <definedName name="_xlnm.Print_Area" localSheetId="3">Formulaire!$B$1:$J$50</definedName>
    <definedName name="_xlnm.Print_Area" localSheetId="2">'Plan de financement'!$B$1:$T$80</definedName>
    <definedName name="_xlnm.Print_Area" localSheetId="4">'Si inter-organisme'!$B$1:$H$29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6" i="1" l="1"/>
  <c r="I65" i="1"/>
  <c r="J68" i="1"/>
  <c r="I77" i="1"/>
  <c r="J39" i="1"/>
  <c r="H24" i="1"/>
  <c r="J37" i="1"/>
  <c r="L35" i="4"/>
  <c r="L42" i="4"/>
  <c r="L41" i="4"/>
  <c r="U46" i="4"/>
  <c r="L36" i="4"/>
  <c r="L33" i="4"/>
  <c r="W45" i="4"/>
  <c r="V45" i="4"/>
  <c r="U45" i="4"/>
  <c r="L37" i="4" s="1"/>
  <c r="L45" i="4"/>
  <c r="V44" i="4"/>
  <c r="U44" i="4"/>
  <c r="L44" i="4"/>
  <c r="W43" i="4"/>
  <c r="V43" i="4"/>
  <c r="U43" i="4"/>
  <c r="V42" i="4"/>
  <c r="L43" i="4" s="1"/>
  <c r="U42" i="4"/>
  <c r="L34" i="4" s="1"/>
  <c r="W41" i="4"/>
  <c r="V41" i="4"/>
  <c r="U41" i="4"/>
  <c r="V40" i="4"/>
  <c r="U40" i="4"/>
  <c r="X39" i="4"/>
  <c r="H48" i="1" l="1"/>
  <c r="H42" i="1"/>
  <c r="H31" i="1" l="1"/>
  <c r="D7" i="10"/>
  <c r="M69" i="1"/>
  <c r="B10" i="2"/>
  <c r="O56" i="1"/>
  <c r="M58" i="1"/>
  <c r="C55" i="2" l="1"/>
  <c r="F82" i="2" l="1"/>
  <c r="E82" i="2"/>
  <c r="D82" i="2"/>
  <c r="C82" i="2"/>
  <c r="F81" i="2"/>
  <c r="E81" i="2"/>
  <c r="D81" i="2"/>
  <c r="C81" i="2" a="1"/>
  <c r="C81" i="2" s="1"/>
  <c r="D63" i="2" a="1"/>
  <c r="D63" i="2" s="1"/>
  <c r="F80" i="2"/>
  <c r="E80" i="2"/>
  <c r="D80" i="2"/>
  <c r="C80" i="2"/>
  <c r="E55" i="2"/>
  <c r="B93" i="2" s="1"/>
  <c r="J27" i="4"/>
  <c r="F27" i="4"/>
  <c r="J26" i="4"/>
  <c r="H26" i="4"/>
  <c r="F26" i="4"/>
  <c r="C41" i="16"/>
  <c r="C39" i="16"/>
  <c r="C5" i="16"/>
  <c r="C13" i="16"/>
  <c r="C15" i="16"/>
  <c r="C45" i="2" s="1"/>
  <c r="F14" i="1"/>
  <c r="G55" i="2" l="1"/>
  <c r="C84" i="2"/>
  <c r="C83" i="2"/>
  <c r="D84" i="2"/>
  <c r="D83" i="2"/>
  <c r="E84" i="2"/>
  <c r="E83" i="2"/>
  <c r="F83" i="2"/>
  <c r="F84" i="2"/>
  <c r="B9" i="2"/>
  <c r="B8" i="2"/>
  <c r="B7" i="2"/>
  <c r="B6" i="2"/>
  <c r="I3" i="1"/>
  <c r="F5" i="1"/>
  <c r="D86" i="2" l="1"/>
  <c r="E86" i="2"/>
  <c r="E93" i="2" s="1"/>
  <c r="F86" i="2"/>
  <c r="C86" i="2"/>
  <c r="C11" i="16"/>
  <c r="D93" i="2" l="1"/>
  <c r="F93" i="2"/>
  <c r="C93" i="2"/>
  <c r="J14" i="4"/>
  <c r="F1" i="1"/>
  <c r="F12" i="1" l="1"/>
  <c r="E76" i="2"/>
  <c r="E73" i="2"/>
  <c r="E70" i="2"/>
  <c r="E63" i="2"/>
  <c r="C56" i="2"/>
  <c r="C85" i="2" l="1"/>
  <c r="C87" i="2" s="1"/>
  <c r="E85" i="2"/>
  <c r="D85" i="2"/>
  <c r="D87" i="2" s="1"/>
  <c r="F85" i="2"/>
  <c r="F87" i="2" s="1"/>
  <c r="F94" i="2" s="1"/>
  <c r="G56" i="2"/>
  <c r="E56" i="2"/>
  <c r="F65" i="2"/>
  <c r="D65" i="2"/>
  <c r="I62" i="2" s="1"/>
  <c r="J62" i="2" s="1"/>
  <c r="K62" i="2" s="1"/>
  <c r="F73" i="2"/>
  <c r="G73" i="2" s="1"/>
  <c r="F76" i="2"/>
  <c r="G76" i="2" s="1"/>
  <c r="F70" i="2"/>
  <c r="G70" i="2" s="1"/>
  <c r="J69" i="2" s="1"/>
  <c r="F63" i="2"/>
  <c r="G63" i="2" s="1"/>
  <c r="F88" i="2" l="1"/>
  <c r="F89" i="2" s="1"/>
  <c r="F90" i="2" s="1"/>
  <c r="F91" i="2" s="1"/>
  <c r="D88" i="2"/>
  <c r="D89" i="2" s="1"/>
  <c r="D94" i="2"/>
  <c r="E87" i="2"/>
  <c r="E88" i="2" s="1"/>
  <c r="E89" i="2" s="1"/>
  <c r="C88" i="2"/>
  <c r="C89" i="2" s="1"/>
  <c r="C94" i="2"/>
  <c r="K69" i="2"/>
  <c r="I69" i="2"/>
  <c r="I75" i="2"/>
  <c r="K72" i="2"/>
  <c r="J72" i="2"/>
  <c r="I72" i="2"/>
  <c r="F7" i="1"/>
  <c r="C19" i="16"/>
  <c r="C18" i="16"/>
  <c r="C16" i="16"/>
  <c r="C14" i="16"/>
  <c r="F3" i="1"/>
  <c r="D90" i="2" l="1"/>
  <c r="D91" i="2" s="1"/>
  <c r="F95" i="2"/>
  <c r="F96" i="2" s="1"/>
  <c r="F97" i="2" s="1"/>
  <c r="I63" i="1" s="1"/>
  <c r="E94" i="2"/>
  <c r="E90" i="2"/>
  <c r="E91" i="2" s="1"/>
  <c r="D95" i="2"/>
  <c r="D96" i="2" s="1"/>
  <c r="C95" i="2"/>
  <c r="J75" i="2"/>
  <c r="K75" i="2"/>
  <c r="N51" i="1"/>
  <c r="D97" i="2" l="1"/>
  <c r="I57" i="1" s="1"/>
  <c r="E95" i="2"/>
  <c r="E96" i="2" s="1"/>
  <c r="C96" i="2"/>
  <c r="C97" i="2" s="1"/>
  <c r="I54" i="1" s="1"/>
  <c r="C90" i="2"/>
  <c r="C91" i="2" s="1"/>
  <c r="D48" i="18"/>
  <c r="H52" i="1" l="1"/>
  <c r="I69" i="1"/>
  <c r="W40" i="4" s="1"/>
  <c r="E97" i="2"/>
  <c r="I60" i="1" s="1"/>
  <c r="E14" i="4"/>
  <c r="E20" i="4"/>
  <c r="C25" i="18" s="1"/>
  <c r="J80" i="1" l="1"/>
  <c r="J77" i="1"/>
  <c r="K79" i="1"/>
  <c r="J72" i="1"/>
  <c r="J70" i="1"/>
  <c r="J76" i="1"/>
  <c r="J75" i="1"/>
  <c r="J74" i="1"/>
  <c r="J73" i="1"/>
  <c r="J71" i="1"/>
  <c r="J69" i="1"/>
  <c r="I68" i="1"/>
  <c r="C35" i="18"/>
  <c r="I66" i="1" l="1"/>
  <c r="G48" i="4"/>
  <c r="E25" i="4"/>
  <c r="B48" i="4"/>
  <c r="B47" i="4"/>
  <c r="J66" i="1" l="1"/>
  <c r="E5" i="11"/>
  <c r="B5" i="11"/>
  <c r="C32" i="18"/>
  <c r="C31" i="18"/>
  <c r="C30" i="18"/>
  <c r="C16" i="18"/>
  <c r="C13" i="18"/>
  <c r="F10" i="4"/>
  <c r="C103" i="2" l="1"/>
  <c r="C102" i="2"/>
  <c r="C14" i="18"/>
  <c r="Q2" i="7"/>
  <c r="S2" i="7" a="1"/>
  <c r="S2" i="7" s="1"/>
  <c r="N63" i="1" l="1"/>
  <c r="N57" i="1"/>
  <c r="G47" i="4" l="1"/>
  <c r="D76" i="2" l="1"/>
  <c r="I76" i="2" s="1"/>
  <c r="J76" i="2" s="1"/>
  <c r="K76" i="2" s="1"/>
  <c r="D73" i="2"/>
  <c r="I73" i="2" s="1"/>
  <c r="J73" i="2" s="1"/>
  <c r="K73" i="2" s="1"/>
  <c r="D70" i="2"/>
  <c r="I70" i="2" s="1"/>
  <c r="J70" i="2" s="1"/>
  <c r="K70" i="2" s="1"/>
  <c r="I63" i="2"/>
  <c r="J63" i="2" s="1"/>
  <c r="K63" i="2" s="1"/>
  <c r="C76" i="2"/>
  <c r="C73" i="2"/>
  <c r="T2" i="7" l="1"/>
  <c r="F9" i="4"/>
  <c r="H10" i="4"/>
  <c r="H8" i="4"/>
  <c r="F8" i="4"/>
  <c r="E6" i="4"/>
  <c r="E7" i="4"/>
  <c r="H9" i="4"/>
  <c r="J9" i="4" s="1"/>
  <c r="V2" i="7" l="1"/>
  <c r="U2" i="7"/>
  <c r="L32" i="4" l="1"/>
  <c r="C70" i="2" l="1"/>
  <c r="C63" i="2"/>
  <c r="F29" i="11" l="1"/>
  <c r="G5" i="11" s="1"/>
  <c r="H1" i="11"/>
  <c r="G28" i="4" l="1"/>
  <c r="D46" i="18"/>
  <c r="B50" i="4"/>
  <c r="G50" i="4"/>
  <c r="G9" i="11"/>
  <c r="G13" i="11"/>
  <c r="G17" i="11"/>
  <c r="G21" i="11"/>
  <c r="G25" i="11"/>
  <c r="G6" i="11"/>
  <c r="G11" i="11"/>
  <c r="G19" i="11"/>
  <c r="G23" i="11"/>
  <c r="G12" i="11"/>
  <c r="G20" i="11"/>
  <c r="G28" i="11"/>
  <c r="G10" i="11"/>
  <c r="G14" i="11"/>
  <c r="G18" i="11"/>
  <c r="G22" i="11"/>
  <c r="G26" i="11"/>
  <c r="G7" i="11"/>
  <c r="G15" i="11"/>
  <c r="G27" i="11"/>
  <c r="G8" i="11"/>
  <c r="G16" i="11"/>
  <c r="G24" i="11"/>
  <c r="C1" i="11"/>
  <c r="X2" i="7" l="1"/>
  <c r="F4" i="7"/>
  <c r="E2" i="7"/>
  <c r="R2" i="7"/>
  <c r="E13" i="4" l="1"/>
  <c r="C15" i="18" l="1"/>
  <c r="G12" i="1" l="1"/>
  <c r="C52" i="2"/>
  <c r="C53" i="2" s="1"/>
  <c r="J16" i="4"/>
  <c r="J17" i="4"/>
  <c r="B96" i="2" l="1"/>
  <c r="B95" i="2"/>
  <c r="B94" i="2"/>
  <c r="L73" i="2" l="1"/>
  <c r="L70" i="2"/>
  <c r="L63" i="2"/>
  <c r="L76" i="2"/>
  <c r="C16" i="1"/>
  <c r="L4" i="7" l="1"/>
  <c r="L2" i="7" s="1"/>
  <c r="O4" i="7" l="1"/>
  <c r="O2" i="7" s="1"/>
  <c r="W2" i="7" l="1"/>
  <c r="M2" i="7"/>
  <c r="N4" i="7" l="1"/>
  <c r="N2" i="7" s="1"/>
  <c r="P2" i="7"/>
  <c r="F2" i="7"/>
  <c r="D2" i="7"/>
  <c r="C4" i="7"/>
  <c r="C2" i="7" s="1"/>
  <c r="B2" i="7"/>
  <c r="G2" i="7"/>
  <c r="M50" i="1" l="1"/>
  <c r="N50" i="1" s="1"/>
  <c r="J15" i="4" l="1"/>
  <c r="K2" i="7"/>
  <c r="D1" i="4"/>
  <c r="J19" i="4" l="1"/>
  <c r="G19" i="4" l="1"/>
  <c r="A2" i="7" l="1"/>
  <c r="A4" i="7" s="1"/>
  <c r="E5" i="4"/>
  <c r="B29" i="11"/>
  <c r="E11" i="4" s="1"/>
  <c r="J62" i="1"/>
  <c r="J46" i="1"/>
  <c r="J51" i="1"/>
  <c r="J49" i="1"/>
  <c r="J60" i="1"/>
  <c r="J53" i="1"/>
  <c r="J48" i="1"/>
  <c r="J24" i="1"/>
  <c r="J52" i="1"/>
  <c r="J30" i="1"/>
  <c r="J64" i="1"/>
  <c r="J55" i="1"/>
  <c r="J63" i="1"/>
  <c r="J54" i="1"/>
  <c r="J27" i="1"/>
  <c r="J34" i="1"/>
  <c r="J26" i="1"/>
  <c r="J58" i="1"/>
  <c r="J32" i="1"/>
  <c r="J38" i="1"/>
  <c r="J40" i="1"/>
  <c r="J29" i="1"/>
  <c r="J31" i="1"/>
  <c r="J42" i="1"/>
  <c r="J41" i="1"/>
  <c r="J25" i="1"/>
  <c r="G16" i="4"/>
  <c r="J67" i="1"/>
  <c r="J33" i="1"/>
  <c r="J36" i="1"/>
  <c r="J28" i="1"/>
  <c r="J56" i="1"/>
  <c r="J35" i="1"/>
  <c r="J61" i="1"/>
  <c r="J50" i="1"/>
  <c r="J57" i="1"/>
  <c r="H2" i="7"/>
  <c r="C26" i="18"/>
  <c r="J47" i="1"/>
  <c r="J59" i="1"/>
  <c r="G18" i="4"/>
  <c r="N70" i="1"/>
  <c r="J18" i="4" l="1"/>
  <c r="C27" i="18"/>
  <c r="J2" i="7"/>
  <c r="I4" i="7"/>
  <c r="I2" i="7" s="1"/>
  <c r="N69" i="1"/>
  <c r="N68" i="1" l="1"/>
  <c r="L31" i="4"/>
  <c r="G17" i="4" l="1"/>
  <c r="J65" i="1"/>
  <c r="N6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Claude COUSTY</author>
    <author>tc={2FCCB0B7-A0FC-4F57-B232-7623777B009C}</author>
  </authors>
  <commentList>
    <comment ref="J20" authorId="0" shapeId="0" xr:uid="{00EE5761-58E2-4B90-954B-C5B4ED4C142B}">
      <text>
        <r>
          <rPr>
            <b/>
            <sz val="9"/>
            <color indexed="81"/>
            <rFont val="Tahoma"/>
            <family val="2"/>
          </rPr>
          <t>Claude COUSTY:</t>
        </r>
        <r>
          <rPr>
            <sz val="9"/>
            <color indexed="81"/>
            <rFont val="Tahoma"/>
            <family val="2"/>
          </rPr>
          <t xml:space="preserve">
</t>
        </r>
      </text>
    </comment>
    <comment ref="M50" authorId="1" shapeId="0" xr:uid="{2FCCB0B7-A0FC-4F57-B232-7623777B009C}">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Aide est plafonnée à 5 K€ soit une dépense max de 10K€ si taux 50%, de 12.5€ si taux 40%</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<sst xmlns="http://schemas.openxmlformats.org/spreadsheetml/2006/main" count="1160" uniqueCount="713">
  <si>
    <t>CGLLS</t>
  </si>
  <si>
    <t>Région</t>
  </si>
  <si>
    <t>prestataire(s)</t>
  </si>
  <si>
    <t>EPCI</t>
  </si>
  <si>
    <t>Ville</t>
  </si>
  <si>
    <t>Département</t>
  </si>
  <si>
    <t>Etat</t>
  </si>
  <si>
    <t>Prestations intellectuelles</t>
  </si>
  <si>
    <t>Formation</t>
  </si>
  <si>
    <t>-</t>
  </si>
  <si>
    <t>Pour publication auprès de la CGLLS</t>
  </si>
  <si>
    <t>Nom du projet</t>
  </si>
  <si>
    <t>DEPENSE ELIGIBLE</t>
  </si>
  <si>
    <t>Par le ou les organismes</t>
  </si>
  <si>
    <t>Par financements publics</t>
  </si>
  <si>
    <t>Par financements privés</t>
  </si>
  <si>
    <t>Thème du projet</t>
  </si>
  <si>
    <t>).</t>
  </si>
  <si>
    <t>Qualité de service avec effet durable sur les compétences &amp; modes de faire, RH</t>
  </si>
  <si>
    <t>Plan de gestion de crise</t>
  </si>
  <si>
    <t>Projet inter-organisme</t>
  </si>
  <si>
    <t>Thèmes règlementaires. Dérouler le menu</t>
  </si>
  <si>
    <t>Date de début</t>
  </si>
  <si>
    <t>Date de fin</t>
  </si>
  <si>
    <t>Durée en mois</t>
  </si>
  <si>
    <t>Innovation</t>
  </si>
  <si>
    <t>Modernisation</t>
  </si>
  <si>
    <t>Taux interorganisme</t>
  </si>
  <si>
    <t>Taux autre</t>
  </si>
  <si>
    <t>Plafond interorganisme</t>
  </si>
  <si>
    <t>Plafond autre</t>
  </si>
  <si>
    <t>Taux de financement</t>
  </si>
  <si>
    <t>% de la dépense</t>
  </si>
  <si>
    <t>Plafond de l'aide</t>
  </si>
  <si>
    <t>Prestations</t>
  </si>
  <si>
    <t>Informatique</t>
  </si>
  <si>
    <t>Détailler les natures de dépenses, décomposer le coût total</t>
  </si>
  <si>
    <t xml:space="preserve">Poste de </t>
  </si>
  <si>
    <t xml:space="preserve">    Salaire annuel brut :</t>
  </si>
  <si>
    <t>Informations et coordonnées professionnelles</t>
  </si>
  <si>
    <t>Responsable du projet</t>
  </si>
  <si>
    <t>Téléphone</t>
  </si>
  <si>
    <t>OPH</t>
  </si>
  <si>
    <t>Code postal</t>
  </si>
  <si>
    <t>DESCRIPTION DU PROJET</t>
  </si>
  <si>
    <t>Taux de l'aide</t>
  </si>
  <si>
    <t>Autres financements</t>
  </si>
  <si>
    <t xml:space="preserve">Description du projet </t>
  </si>
  <si>
    <t>AVIS du service instructeur (fédération, CPR-instance(s) régionale(s)-service déconcentré)</t>
  </si>
  <si>
    <t>Adresse</t>
  </si>
  <si>
    <t>Avis</t>
  </si>
  <si>
    <t>J</t>
  </si>
  <si>
    <t>Questions soulevées</t>
  </si>
  <si>
    <t>Remarque</t>
  </si>
  <si>
    <t>SIGNATURES</t>
  </si>
  <si>
    <t>Date</t>
  </si>
  <si>
    <t>Titre</t>
  </si>
  <si>
    <t>Pièce 4. PLAN DE FINANCEMENT</t>
  </si>
  <si>
    <t>Adresse élect.</t>
  </si>
  <si>
    <t>Total</t>
  </si>
  <si>
    <t>ESH</t>
  </si>
  <si>
    <t>Coopérative HLM</t>
  </si>
  <si>
    <t>EPL</t>
  </si>
  <si>
    <t>MOI</t>
  </si>
  <si>
    <t>Dérouler le menu</t>
  </si>
  <si>
    <t>Famille</t>
  </si>
  <si>
    <t>Thème</t>
  </si>
  <si>
    <t>Interorganisme</t>
  </si>
  <si>
    <t>Type</t>
  </si>
  <si>
    <t>Bilan FSI</t>
  </si>
  <si>
    <t>Taux</t>
  </si>
  <si>
    <t>Aide</t>
  </si>
  <si>
    <t>Porteur</t>
  </si>
  <si>
    <t>Projet</t>
  </si>
  <si>
    <t>DG</t>
  </si>
  <si>
    <t>Fédération des OPH</t>
  </si>
  <si>
    <t>Fédération des ESH</t>
  </si>
  <si>
    <t>Fédération des Coop</t>
  </si>
  <si>
    <t>Paris</t>
  </si>
  <si>
    <t>AR Région Centre Val de Loire</t>
  </si>
  <si>
    <t>22, rue du Pot de Fer - BP 41101</t>
  </si>
  <si>
    <t>Orléans</t>
  </si>
  <si>
    <t>cecile.simon@hlm.coop</t>
  </si>
  <si>
    <t>USH</t>
  </si>
  <si>
    <t>catherine.hluszko@union-habitat.org</t>
  </si>
  <si>
    <t>Lille</t>
  </si>
  <si>
    <t>AR Hauts de France</t>
  </si>
  <si>
    <t>AR Normandie</t>
  </si>
  <si>
    <t>Rouen</t>
  </si>
  <si>
    <t>30, Rue de Malherbe</t>
  </si>
  <si>
    <t>a.cacaux.arhlmn@union-habitat.org</t>
  </si>
  <si>
    <t>39 rue Jules Lallemand</t>
  </si>
  <si>
    <t>Rennes</t>
  </si>
  <si>
    <t>AR Bretagne</t>
  </si>
  <si>
    <t>AR Pays de la Loire</t>
  </si>
  <si>
    <t>AR Nouvelle Aquitaine</t>
  </si>
  <si>
    <t>AR Bourgogne</t>
  </si>
  <si>
    <t>AR Franche Comté</t>
  </si>
  <si>
    <t>AR PACA Corse</t>
  </si>
  <si>
    <t>8 avenue des Thébaudières</t>
  </si>
  <si>
    <t>Saint Herblain</t>
  </si>
  <si>
    <t>261 rue Simone Signoret - CS 20017</t>
  </si>
  <si>
    <t>Montpellier</t>
  </si>
  <si>
    <t>Le Saint Georges, 97 avenue de la Corse</t>
  </si>
  <si>
    <t>Marseille</t>
  </si>
  <si>
    <t>Centre</t>
  </si>
  <si>
    <t>Hauts de France</t>
  </si>
  <si>
    <t>Pays de la Loire</t>
  </si>
  <si>
    <t>Normandie</t>
  </si>
  <si>
    <t>Bretagne</t>
  </si>
  <si>
    <t>Nouvelle Aquitaine</t>
  </si>
  <si>
    <t>Bourgogne</t>
  </si>
  <si>
    <t>Franche Comté</t>
  </si>
  <si>
    <t>ARRA</t>
  </si>
  <si>
    <t>PACA Corse</t>
  </si>
  <si>
    <t>Occitanie</t>
  </si>
  <si>
    <t>Lyon</t>
  </si>
  <si>
    <t>2H, rue Bertrand Russel</t>
  </si>
  <si>
    <t>Besançon</t>
  </si>
  <si>
    <t>30, boulevard de Strasbourg</t>
  </si>
  <si>
    <t>Dijon</t>
  </si>
  <si>
    <t>Grand est</t>
  </si>
  <si>
    <t>AREAL</t>
  </si>
  <si>
    <t>2, rue Saint Léonard, CS 50005</t>
  </si>
  <si>
    <t>Sélestat</t>
  </si>
  <si>
    <t>ARELOR</t>
  </si>
  <si>
    <t>Metz</t>
  </si>
  <si>
    <t>38, rue Cérès</t>
  </si>
  <si>
    <t>Reims</t>
  </si>
  <si>
    <t>AR Champagne Ardenne</t>
  </si>
  <si>
    <t>valerie.peyrelongue@union-habitat.org</t>
  </si>
  <si>
    <t>isabelle.soares@union-habitat.org</t>
  </si>
  <si>
    <t>c.degoutin.arelor@union-habitat.org</t>
  </si>
  <si>
    <t>IDF</t>
  </si>
  <si>
    <t>v.rougeot@aorif.org</t>
  </si>
  <si>
    <t>01 40 75 52 91</t>
  </si>
  <si>
    <t>03 87 69 01 35</t>
  </si>
  <si>
    <t>02 99 65 63 61</t>
  </si>
  <si>
    <t>04 91 13 73 26</t>
  </si>
  <si>
    <t>02 40 94 87 59</t>
  </si>
  <si>
    <t>05 56 69 47 90</t>
  </si>
  <si>
    <t>03 90 56 11 93</t>
  </si>
  <si>
    <t xml:space="preserve">03 26 05 04 14 </t>
  </si>
  <si>
    <t>14 rue Lord Byron</t>
  </si>
  <si>
    <t>AORIF / CPR IDF</t>
  </si>
  <si>
    <t>Autres organismes
(si projet interorganisme)</t>
  </si>
  <si>
    <t>Dépense</t>
  </si>
  <si>
    <t>Durée</t>
  </si>
  <si>
    <t>instructeur</t>
  </si>
  <si>
    <t>adresse</t>
  </si>
  <si>
    <t>CP</t>
  </si>
  <si>
    <t>Madame Marianne LOUIS</t>
  </si>
  <si>
    <t>Monsieur Laurent GOYARD</t>
  </si>
  <si>
    <t>Monsieur Didier POUSSOU</t>
  </si>
  <si>
    <t>Monsieur Vincent LOURIER</t>
  </si>
  <si>
    <t>Madame Aïcha MOUHADDAB</t>
  </si>
  <si>
    <t>Madame Anne SCHWERDORFFER</t>
  </si>
  <si>
    <t>Monsieur Yann THEPOT</t>
  </si>
  <si>
    <t>Monsieur Axel DAVID</t>
  </si>
  <si>
    <t>DG instructeur</t>
  </si>
  <si>
    <t>Pièces facultatives</t>
  </si>
  <si>
    <t>20% min</t>
  </si>
  <si>
    <t>PRESTATIONS EXTERNES</t>
  </si>
  <si>
    <t>Recruté.e le :</t>
  </si>
  <si>
    <t>Organisme porteur du projet</t>
  </si>
  <si>
    <t>Fédération</t>
  </si>
  <si>
    <t>SIRET</t>
  </si>
  <si>
    <t>Directeur général</t>
  </si>
  <si>
    <t>Service instructeur</t>
  </si>
  <si>
    <t>Instruction</t>
  </si>
  <si>
    <t>Coordonnées</t>
  </si>
  <si>
    <t>Thème (règlementaire)</t>
  </si>
  <si>
    <t>Innovation ou modernisation</t>
  </si>
  <si>
    <t>Dépenses éligibles</t>
  </si>
  <si>
    <t>Aide demandée</t>
  </si>
  <si>
    <t>Fonds propres</t>
  </si>
  <si>
    <t>Prestataires</t>
  </si>
  <si>
    <t>Calcul de l'aide</t>
  </si>
  <si>
    <t>Coût total</t>
  </si>
  <si>
    <t>Etudes techniques :  performance ou lutte contre la précarité énergétique, développement durable, amiante, …</t>
  </si>
  <si>
    <t>Montages innovants : gestion patrimoine, maîtrise d'ouvrage</t>
  </si>
  <si>
    <t>Adaptation du patrimoine à son marché : adaptation de l'offre, bâtiments connectés ou dotés de services numériques, participation des locataires, habitat participatif, …</t>
  </si>
  <si>
    <t>Modernisation des processus internes : optimisation économique, pilotage de la donnée, …</t>
  </si>
  <si>
    <t xml:space="preserve">    Coût réel (si sup au plafond) :</t>
  </si>
  <si>
    <t>Demande d’aide auprès du Fonds de soutien à l’innovation</t>
  </si>
  <si>
    <t>N°_département</t>
  </si>
  <si>
    <t>Grande Région</t>
  </si>
  <si>
    <t>68</t>
  </si>
  <si>
    <t>Haut Rhin</t>
  </si>
  <si>
    <t>Alsace</t>
  </si>
  <si>
    <t>Grand Est</t>
  </si>
  <si>
    <t>67</t>
  </si>
  <si>
    <t>Bas Rhin</t>
  </si>
  <si>
    <t>33</t>
  </si>
  <si>
    <t>Gironde</t>
  </si>
  <si>
    <t>Aquitaine</t>
  </si>
  <si>
    <t>40</t>
  </si>
  <si>
    <t>Landes</t>
  </si>
  <si>
    <t>24</t>
  </si>
  <si>
    <t>Dordogne</t>
  </si>
  <si>
    <t>64</t>
  </si>
  <si>
    <t>Pyrénées Atlantiques</t>
  </si>
  <si>
    <t>47</t>
  </si>
  <si>
    <t>Lot et Garonne</t>
  </si>
  <si>
    <t>43</t>
  </si>
  <si>
    <t>Haute Loire</t>
  </si>
  <si>
    <t>Auvergne</t>
  </si>
  <si>
    <t>03</t>
  </si>
  <si>
    <t>Allier</t>
  </si>
  <si>
    <t>63</t>
  </si>
  <si>
    <t>Puy de Dôme</t>
  </si>
  <si>
    <t>15</t>
  </si>
  <si>
    <t>Cantal</t>
  </si>
  <si>
    <t>61</t>
  </si>
  <si>
    <t>Orne</t>
  </si>
  <si>
    <t>Basse Normandie</t>
  </si>
  <si>
    <t>50</t>
  </si>
  <si>
    <t>Manche</t>
  </si>
  <si>
    <t>14</t>
  </si>
  <si>
    <t>Calvados</t>
  </si>
  <si>
    <t>71</t>
  </si>
  <si>
    <t>Saône et Loire</t>
  </si>
  <si>
    <t>58</t>
  </si>
  <si>
    <t>Nièvre</t>
  </si>
  <si>
    <t>21</t>
  </si>
  <si>
    <t>Côte d'Or</t>
  </si>
  <si>
    <t>89</t>
  </si>
  <si>
    <t>Yonne</t>
  </si>
  <si>
    <t>35</t>
  </si>
  <si>
    <t>Ille et Vilaine</t>
  </si>
  <si>
    <t>56</t>
  </si>
  <si>
    <t>Morbihan</t>
  </si>
  <si>
    <t>29</t>
  </si>
  <si>
    <t>Finistère</t>
  </si>
  <si>
    <t>22</t>
  </si>
  <si>
    <t>Côtes d'Armor</t>
  </si>
  <si>
    <t>41</t>
  </si>
  <si>
    <t>Loir et Cher</t>
  </si>
  <si>
    <t>28</t>
  </si>
  <si>
    <t>Eure et Loir</t>
  </si>
  <si>
    <t>45</t>
  </si>
  <si>
    <t>Loiret</t>
  </si>
  <si>
    <t>37</t>
  </si>
  <si>
    <t>Indre et Loire</t>
  </si>
  <si>
    <t>36</t>
  </si>
  <si>
    <t>Indre</t>
  </si>
  <si>
    <t>18</t>
  </si>
  <si>
    <t>Cher</t>
  </si>
  <si>
    <t>10</t>
  </si>
  <si>
    <t>Aube</t>
  </si>
  <si>
    <t>Champagne Ardenne</t>
  </si>
  <si>
    <t>51</t>
  </si>
  <si>
    <t>Marne</t>
  </si>
  <si>
    <t>52</t>
  </si>
  <si>
    <t>Haute Marne</t>
  </si>
  <si>
    <t>08</t>
  </si>
  <si>
    <t>Ardennes</t>
  </si>
  <si>
    <t>2A</t>
  </si>
  <si>
    <t>Corse du Sud</t>
  </si>
  <si>
    <t>Corse</t>
  </si>
  <si>
    <t>2B</t>
  </si>
  <si>
    <t>Haute Corse</t>
  </si>
  <si>
    <t>39</t>
  </si>
  <si>
    <t>Jura</t>
  </si>
  <si>
    <t>25</t>
  </si>
  <si>
    <t>Doubs</t>
  </si>
  <si>
    <t>70</t>
  </si>
  <si>
    <t>Haute Saône</t>
  </si>
  <si>
    <t>90</t>
  </si>
  <si>
    <t>Territoire de Belfort</t>
  </si>
  <si>
    <t>27</t>
  </si>
  <si>
    <t>Eure</t>
  </si>
  <si>
    <t>Haute Normandie</t>
  </si>
  <si>
    <t>76</t>
  </si>
  <si>
    <t>Seine Maritime</t>
  </si>
  <si>
    <t>94</t>
  </si>
  <si>
    <t>Val de Marne</t>
  </si>
  <si>
    <t>Île de France</t>
  </si>
  <si>
    <t>Ile de France</t>
  </si>
  <si>
    <t>95</t>
  </si>
  <si>
    <t>Val d'Oise</t>
  </si>
  <si>
    <t>93</t>
  </si>
  <si>
    <t>Seine Saint Denis</t>
  </si>
  <si>
    <t>92</t>
  </si>
  <si>
    <t>Hauts de Seine</t>
  </si>
  <si>
    <t>75</t>
  </si>
  <si>
    <t>78</t>
  </si>
  <si>
    <t>Yvelines</t>
  </si>
  <si>
    <t>91</t>
  </si>
  <si>
    <t>Essonne</t>
  </si>
  <si>
    <t>77</t>
  </si>
  <si>
    <t>Seine et Marne</t>
  </si>
  <si>
    <t>34</t>
  </si>
  <si>
    <t>Hérault</t>
  </si>
  <si>
    <t>Languedoc Roussillon</t>
  </si>
  <si>
    <t>11</t>
  </si>
  <si>
    <t>Aude</t>
  </si>
  <si>
    <t>30</t>
  </si>
  <si>
    <t>Gard</t>
  </si>
  <si>
    <t>48</t>
  </si>
  <si>
    <t>Lozère</t>
  </si>
  <si>
    <t>66</t>
  </si>
  <si>
    <t>Pyrénées Orientales</t>
  </si>
  <si>
    <t>19</t>
  </si>
  <si>
    <t>Corrèze</t>
  </si>
  <si>
    <t>Limousin</t>
  </si>
  <si>
    <t>87</t>
  </si>
  <si>
    <t>Haute Vienne</t>
  </si>
  <si>
    <t>23</t>
  </si>
  <si>
    <t>Creuse</t>
  </si>
  <si>
    <t>88</t>
  </si>
  <si>
    <t>Vosges</t>
  </si>
  <si>
    <t>Lorraine</t>
  </si>
  <si>
    <t>54</t>
  </si>
  <si>
    <t>Meurthe et Moselle</t>
  </si>
  <si>
    <t>55</t>
  </si>
  <si>
    <t>Meuse</t>
  </si>
  <si>
    <t>57</t>
  </si>
  <si>
    <t>Moselle</t>
  </si>
  <si>
    <t>31</t>
  </si>
  <si>
    <t>Haute Garonne</t>
  </si>
  <si>
    <t>Midi Pyrénées</t>
  </si>
  <si>
    <t>82</t>
  </si>
  <si>
    <t>Tarn et Garonne</t>
  </si>
  <si>
    <t>81</t>
  </si>
  <si>
    <t>Tarn</t>
  </si>
  <si>
    <t>46</t>
  </si>
  <si>
    <t>Lot</t>
  </si>
  <si>
    <t>12</t>
  </si>
  <si>
    <t>Aveyron</t>
  </si>
  <si>
    <t>09</t>
  </si>
  <si>
    <t>Ariège</t>
  </si>
  <si>
    <t>65</t>
  </si>
  <si>
    <t>Hautes Pyrénées</t>
  </si>
  <si>
    <t>32</t>
  </si>
  <si>
    <t>Gers</t>
  </si>
  <si>
    <t>59</t>
  </si>
  <si>
    <t>Nord</t>
  </si>
  <si>
    <t>Nord   Pas de Calais</t>
  </si>
  <si>
    <t>62</t>
  </si>
  <si>
    <t>Pas de Calais</t>
  </si>
  <si>
    <t>72</t>
  </si>
  <si>
    <t>Sarthe</t>
  </si>
  <si>
    <t>85</t>
  </si>
  <si>
    <t>Vendée</t>
  </si>
  <si>
    <t>44</t>
  </si>
  <si>
    <t>Loire Atlantique</t>
  </si>
  <si>
    <t>53</t>
  </si>
  <si>
    <t>Mayenne</t>
  </si>
  <si>
    <t>49</t>
  </si>
  <si>
    <t>Maine et Loire</t>
  </si>
  <si>
    <t>60</t>
  </si>
  <si>
    <t>Oise</t>
  </si>
  <si>
    <t>Picardie</t>
  </si>
  <si>
    <t>80</t>
  </si>
  <si>
    <t>Somme</t>
  </si>
  <si>
    <t>02</t>
  </si>
  <si>
    <t>Aisne</t>
  </si>
  <si>
    <t>16</t>
  </si>
  <si>
    <t>Charente</t>
  </si>
  <si>
    <t>Poitou Charentes</t>
  </si>
  <si>
    <t>86</t>
  </si>
  <si>
    <t>Vienne</t>
  </si>
  <si>
    <t>79</t>
  </si>
  <si>
    <t>Deux Sèvres</t>
  </si>
  <si>
    <t>17</t>
  </si>
  <si>
    <t>Charente Maritime</t>
  </si>
  <si>
    <t>83</t>
  </si>
  <si>
    <t>Var</t>
  </si>
  <si>
    <t>Provence Alpes Côte d'Azur</t>
  </si>
  <si>
    <t>Paca Corse</t>
  </si>
  <si>
    <t>84</t>
  </si>
  <si>
    <t>Vaucluse</t>
  </si>
  <si>
    <t>13</t>
  </si>
  <si>
    <t>Bouches du Rhône</t>
  </si>
  <si>
    <t>04</t>
  </si>
  <si>
    <t>Alpes de Haute Provence</t>
  </si>
  <si>
    <t>05</t>
  </si>
  <si>
    <t>Hautes Alpes</t>
  </si>
  <si>
    <t>06</t>
  </si>
  <si>
    <t>Alpes Maritimes</t>
  </si>
  <si>
    <t>69</t>
  </si>
  <si>
    <t>Rhône</t>
  </si>
  <si>
    <t>Rhône Alpes</t>
  </si>
  <si>
    <t>01</t>
  </si>
  <si>
    <t>Ain</t>
  </si>
  <si>
    <t>42</t>
  </si>
  <si>
    <t>Loire</t>
  </si>
  <si>
    <t>74</t>
  </si>
  <si>
    <t>Haute Savoie</t>
  </si>
  <si>
    <t>38</t>
  </si>
  <si>
    <t>Isère</t>
  </si>
  <si>
    <t>73</t>
  </si>
  <si>
    <t>Savoie</t>
  </si>
  <si>
    <t>26</t>
  </si>
  <si>
    <t>Drôme</t>
  </si>
  <si>
    <t>07</t>
  </si>
  <si>
    <t>Ardèche</t>
  </si>
  <si>
    <t>Automatique</t>
  </si>
  <si>
    <t>A renseigner</t>
  </si>
  <si>
    <t>AURA</t>
  </si>
  <si>
    <t>Nvlle Aquitaine</t>
  </si>
  <si>
    <t>Bourg. Fr-Comté</t>
  </si>
  <si>
    <t>Description : Pas plus de 5 lignes svp</t>
  </si>
  <si>
    <t>FSI</t>
  </si>
  <si>
    <t>pré-FSI</t>
  </si>
  <si>
    <t>A présenter au FSI du</t>
  </si>
  <si>
    <t>Description</t>
  </si>
  <si>
    <t xml:space="preserve">Pièce n°4. Date </t>
  </si>
  <si>
    <t xml:space="preserve">Pièce n°3. Date  </t>
  </si>
  <si>
    <t>Compléter les cellules en blanc</t>
  </si>
  <si>
    <t>Liée au projet</t>
  </si>
  <si>
    <r>
      <t xml:space="preserve">PIECES JOINTES </t>
    </r>
    <r>
      <rPr>
        <sz val="9"/>
        <color rgb="FFC00000"/>
        <rFont val="Calibri"/>
        <family val="2"/>
      </rPr>
      <t>(cocher les cases)</t>
    </r>
  </si>
  <si>
    <t>Etablissements publics</t>
  </si>
  <si>
    <t>Organismes</t>
  </si>
  <si>
    <t>Nb logements</t>
  </si>
  <si>
    <t>Porteur de projet</t>
  </si>
  <si>
    <t xml:space="preserve">Date </t>
  </si>
  <si>
    <t>PROJET INTER-ORGANISME</t>
  </si>
  <si>
    <t>Calcul des salaires</t>
  </si>
  <si>
    <t>Inflation</t>
  </si>
  <si>
    <t>Coeff. charges</t>
  </si>
  <si>
    <t>Salaire annuel brut</t>
  </si>
  <si>
    <t>Salaire 1</t>
  </si>
  <si>
    <t>Salaire 2</t>
  </si>
  <si>
    <t>Thèmes règlementaires</t>
  </si>
  <si>
    <t>COCHER LES CASES POUR VERIFIER QUE LE DOSSIER EST COMPLET</t>
  </si>
  <si>
    <t>SIREN</t>
  </si>
  <si>
    <t>Convention valable</t>
  </si>
  <si>
    <t>Adresse 1</t>
  </si>
  <si>
    <t>Adresse 2</t>
  </si>
  <si>
    <t>En jaune : à renseigner</t>
  </si>
  <si>
    <t>Tél</t>
  </si>
  <si>
    <t>Mail</t>
  </si>
  <si>
    <t>JJ/MM/AAAA</t>
  </si>
  <si>
    <t>POUR VOTRE INFORMATION</t>
  </si>
  <si>
    <t xml:space="preserve">- sous excel </t>
  </si>
  <si>
    <t>- sous word</t>
  </si>
  <si>
    <t>POUR PUBLIPOSTAGE</t>
  </si>
  <si>
    <t>Salaire 3</t>
  </si>
  <si>
    <t>Salaire 4</t>
  </si>
  <si>
    <t>CONTRÔLES &amp; INSTRUCTIONS</t>
  </si>
  <si>
    <t>menu déroulant</t>
  </si>
  <si>
    <t>Le calcul prend en compte la durée du PROJET en mois.</t>
  </si>
  <si>
    <t>Pour adapter la durée à chaque poste, entrer dans les formules</t>
  </si>
  <si>
    <t>Plafond des salaires</t>
  </si>
  <si>
    <t>CDD</t>
  </si>
  <si>
    <t>Ne pas toucher ni modifier svp</t>
  </si>
  <si>
    <t>En bleu : se calcule ou renseigne automatiquement</t>
  </si>
  <si>
    <t>SI BESOIN, AJOUTEZ OU MASQUEZ LES LIGNES. NE LES SUPPRIMEZ PAS.</t>
  </si>
  <si>
    <t>CALCUL DE L'AIDE</t>
  </si>
  <si>
    <t>reprise et mise en forme des données pour fusion / publipostage</t>
  </si>
  <si>
    <t>Avis du Comité paritaire régional</t>
  </si>
  <si>
    <t>Sur un dossier de demande d'aide au titre de la modernisation</t>
  </si>
  <si>
    <t>auprès du Fonds de soutien à l'innovation de la CGLLS</t>
  </si>
  <si>
    <t>Insérer en-tête CPR</t>
  </si>
  <si>
    <t>Nom</t>
  </si>
  <si>
    <t>Inter-organisme</t>
  </si>
  <si>
    <t>Prestataire</t>
  </si>
  <si>
    <t>Coût global</t>
  </si>
  <si>
    <t>Siret</t>
  </si>
  <si>
    <t>De la région</t>
  </si>
  <si>
    <t>Rendu par</t>
  </si>
  <si>
    <t>Donne un avis</t>
  </si>
  <si>
    <t>Observations</t>
  </si>
  <si>
    <t>Favorable</t>
  </si>
  <si>
    <t>Défavorable</t>
  </si>
  <si>
    <t>Signature</t>
  </si>
  <si>
    <t>Durée à prendre en compte dans les calculs</t>
  </si>
  <si>
    <t>Salaire réel</t>
  </si>
  <si>
    <t>Salaire plafonné</t>
  </si>
  <si>
    <t>AVIS DU CPR</t>
  </si>
  <si>
    <t>¬</t>
  </si>
  <si>
    <t>Insérer en-tête</t>
  </si>
  <si>
    <t>renseigné automatiquement</t>
  </si>
  <si>
    <t>Insérer nom et qualité du signataire</t>
  </si>
  <si>
    <t>Cocher la case idoine</t>
  </si>
  <si>
    <t>Porter les observations</t>
  </si>
  <si>
    <t>Faire signer et tamponner</t>
  </si>
  <si>
    <t>®</t>
  </si>
  <si>
    <t>Scanner une fois renseigné</t>
  </si>
  <si>
    <t xml:space="preserve">Porter la date. </t>
  </si>
  <si>
    <t>Calcul automatique. Entrer les dates de début et fin</t>
  </si>
  <si>
    <t>PROJET</t>
  </si>
  <si>
    <t>ORGANISME</t>
  </si>
  <si>
    <t>CECI EST UNE PROPOSITION QUE L'AR EST LIBRE D'UTILISER OU PAS</t>
  </si>
  <si>
    <t>L'impression est paramétrée</t>
  </si>
  <si>
    <t>Porter la date. Elle est renseignée par défaut à date du dossier + 7 jours, mais peut être modifiée</t>
  </si>
  <si>
    <t>Elle est calculée à date du dossier + 10 jours, mais peut être modifiée</t>
  </si>
  <si>
    <t>Auvergne Rhône Alpes</t>
  </si>
  <si>
    <t>Bourgogne Franche-Comté</t>
  </si>
  <si>
    <t>Centre Val de Loire</t>
  </si>
  <si>
    <t>Gde région</t>
  </si>
  <si>
    <t>Si besoin, insérez des lignes supplémentaires.</t>
  </si>
  <si>
    <t>Jusqu'à 10 organismes, le fichier incrémente automatiquement les partenaires associés ; au-delà, il renvoie à l'onglet "interorganisme" considéré comme une annexe.</t>
  </si>
  <si>
    <t>PRESTATIONS</t>
  </si>
  <si>
    <t>FORMATION</t>
  </si>
  <si>
    <t>INFORMATIQUE</t>
  </si>
  <si>
    <t>COMMUNICATION</t>
  </si>
  <si>
    <t>Jusqu'à 10 organismes partenaires, le fichier incrémente automatiquement le formulaire ; au-delà, il renvoie à cet onglet.</t>
  </si>
  <si>
    <t>Tous les renseignements portés automatiquement peuvent être modifiés ; il ne s'agit que de formules.</t>
  </si>
  <si>
    <t>INSTRUCTIONS</t>
  </si>
  <si>
    <t>DANS L'ENSEMBLE DU FICHIER EXCEL</t>
  </si>
  <si>
    <t>L'ONGLET ADMINISTRATIF</t>
  </si>
  <si>
    <t xml:space="preserve">salaire annuel brut = </t>
  </si>
  <si>
    <t>Cet onglet ne relève pas de la responsabilité de l'organisme, 
il relève de celle de l'AR</t>
  </si>
  <si>
    <t xml:space="preserve">             . Ouvrir le menu publipostage</t>
  </si>
  <si>
    <t xml:space="preserve">             . Sélectionner les destinataires</t>
  </si>
  <si>
    <t xml:space="preserve">             . Utiliser une liste existante</t>
  </si>
  <si>
    <t xml:space="preserve">                     . Aller chercher votre fichier excel</t>
  </si>
  <si>
    <t xml:space="preserve">                     . Faire 'ouvrir'</t>
  </si>
  <si>
    <t xml:space="preserve">                     . Sélectionner l'onglet PUBLIPOSTAGE$</t>
  </si>
  <si>
    <t xml:space="preserve">             . Menu publipostage : Terminer et fusionner</t>
  </si>
  <si>
    <t xml:space="preserve">             . Modifier des documents individuels</t>
  </si>
  <si>
    <t xml:space="preserve">             . Enregistrer le document produit</t>
  </si>
  <si>
    <t xml:space="preserve">             . Vérifier</t>
  </si>
  <si>
    <t>Le fichier est conçu pour renseigner automatiquement un maximum d'informations et éviter les re-saisies. Toutes ces cellules pré-renseignées du fichier peuvent être forcées : il s'agit uniquement de formules.</t>
  </si>
  <si>
    <t>Renseigner cet onglet "Administratif" permet :
- de reprendre les informations automatiquement dans l'ensemble du fichier excel
- de produire facilement certaines pièces word</t>
  </si>
  <si>
    <t>Les informations enregistrées sous excel peuvent être reprises sous word ; elles sont rassemblées sous l'onglet publipostage du fichier excel (qui est caché). Voir ci-dessous comment procéder</t>
  </si>
  <si>
    <t>OPH_Code</t>
  </si>
  <si>
    <t>Nom_OPH</t>
  </si>
  <si>
    <t>OPH_Adresse2</t>
  </si>
  <si>
    <t>OPH_CodePostal</t>
  </si>
  <si>
    <t>OPH_Ville</t>
  </si>
  <si>
    <t>OPH_SIREN</t>
  </si>
  <si>
    <t>OPH_SIRET</t>
  </si>
  <si>
    <t>DG_Nom</t>
  </si>
  <si>
    <t>en %</t>
  </si>
  <si>
    <t>L'onglet est renseigné à partir des onglets "adminsitratif" et "plan de financement"</t>
  </si>
  <si>
    <t>Cet onglet permet de renseigner tous les autres.</t>
  </si>
  <si>
    <t>L'assiette est calculée à partir du salaire annuel brut et de la durée en mois (date de fin du projet - date de recrutement)</t>
  </si>
  <si>
    <t>date fin projet</t>
  </si>
  <si>
    <t>date recrutement</t>
  </si>
  <si>
    <t>durée en année</t>
  </si>
  <si>
    <t>Pour info. Le calcul est : salaire annuel brut * coeff cglls 1.8 * inflation cglls les années suivant la 1ère année</t>
  </si>
  <si>
    <t>Date d'établissement du dossier</t>
  </si>
  <si>
    <t>THEMES ELIGIBLES</t>
  </si>
  <si>
    <t>Logement. Qualité de service, accueil accompagnement suivi, vieillissement, handicap, accessibilité, questions sanitaires…</t>
  </si>
  <si>
    <t>Règlement intérieur entrant en vigueur le 01/01/2021</t>
  </si>
  <si>
    <t>Thème réglementaire dont relève le projet</t>
  </si>
  <si>
    <t>OLS porteur</t>
  </si>
  <si>
    <t>PORTEUR DE PROJET</t>
  </si>
  <si>
    <t>Dans le cas d'un projet interoganisme, il est nécessaire de désigner un porteur de projet. Ce porteur représentera l'ensemble des membres auprès de la CGLLS, contractera avec elle en leur nom, présentera le dossier, et sera chargé de rassembler les pièces nécessaires au versement, percevra l'aide et la resdistribuera à ses pairs.</t>
  </si>
  <si>
    <t>Il est vivement conseillé de signer une convention interorganisme qui fixe toutes ces modalités.</t>
  </si>
  <si>
    <t>INNOVATION ET MODERNISATION</t>
  </si>
  <si>
    <t>Le projet d'innovation est instruit par la fédération et bénéficie de taux et plafonds plus élevés.</t>
  </si>
  <si>
    <t>Le projet de modernisation est instruit par l'association régionale, et nécessite d'être approuvée par le Comité paritaire régional (CPR). Cette étape supplémentaire engendre un délai de traitement plus long.</t>
  </si>
  <si>
    <t>Cf. Calendrier</t>
  </si>
  <si>
    <t>Organisme éligible à une aide du FSI</t>
  </si>
  <si>
    <t>BILAN DES FINANCEMENTS</t>
  </si>
  <si>
    <t>Un organisme ne peut percevoir + 500 000 euros d'aide sur 36 mois.</t>
  </si>
  <si>
    <t>en ordre décroissant</t>
  </si>
  <si>
    <t>=&gt; date de remise au service instructeur</t>
  </si>
  <si>
    <t>=&gt; date de présentation au FSI</t>
  </si>
  <si>
    <t>OPH_Adresse3</t>
  </si>
  <si>
    <r>
      <t>. Enregistrer le présent fichier</t>
    </r>
    <r>
      <rPr>
        <b/>
        <sz val="10.5"/>
        <color theme="1"/>
        <rFont val="Calibri"/>
        <family val="2"/>
      </rPr>
      <t xml:space="preserve"> EXCEL</t>
    </r>
    <r>
      <rPr>
        <sz val="10.5"/>
        <color theme="1"/>
        <rFont val="Calibri"/>
        <family val="2"/>
      </rPr>
      <t xml:space="preserve"> après l'avoir renseigné</t>
    </r>
  </si>
  <si>
    <r>
      <t xml:space="preserve">. Ouvrir le document </t>
    </r>
    <r>
      <rPr>
        <b/>
        <sz val="10.5"/>
        <color theme="1"/>
        <rFont val="Calibri"/>
        <family val="2"/>
      </rPr>
      <t>WORD</t>
    </r>
    <r>
      <rPr>
        <sz val="10.5"/>
        <color theme="1"/>
        <rFont val="Calibri"/>
        <family val="2"/>
      </rPr>
      <t xml:space="preserve"> à incrémenter</t>
    </r>
  </si>
  <si>
    <r>
      <t xml:space="preserve">             . Enregistrement de </t>
    </r>
    <r>
      <rPr>
        <b/>
        <sz val="10.5"/>
        <color theme="1"/>
        <rFont val="Calibri"/>
        <family val="2"/>
      </rPr>
      <t xml:space="preserve">1 </t>
    </r>
    <r>
      <rPr>
        <sz val="10.5"/>
        <color theme="1"/>
        <rFont val="Calibri"/>
        <family val="2"/>
      </rPr>
      <t xml:space="preserve">à </t>
    </r>
    <r>
      <rPr>
        <b/>
        <sz val="10.5"/>
        <color theme="1"/>
        <rFont val="Calibri"/>
        <family val="2"/>
      </rPr>
      <t>1</t>
    </r>
    <r>
      <rPr>
        <sz val="10.5"/>
        <color theme="1"/>
        <rFont val="Calibri"/>
        <family val="2"/>
      </rPr>
      <t xml:space="preserve"> et OK</t>
    </r>
  </si>
  <si>
    <t>Page de paramétrage</t>
  </si>
  <si>
    <t>Avis du CPR</t>
  </si>
  <si>
    <t>Calcul automatique</t>
  </si>
  <si>
    <t>durée en mois</t>
  </si>
  <si>
    <t>année 1</t>
  </si>
  <si>
    <t>année 2</t>
  </si>
  <si>
    <t>année 3</t>
  </si>
  <si>
    <t>2</t>
  </si>
  <si>
    <t>3</t>
  </si>
  <si>
    <t>4</t>
  </si>
  <si>
    <t>5</t>
  </si>
  <si>
    <t>6</t>
  </si>
  <si>
    <t>7</t>
  </si>
  <si>
    <t>8</t>
  </si>
  <si>
    <t>Salaire annuel brut :</t>
  </si>
  <si>
    <t>durée                                                                     en mois</t>
  </si>
  <si>
    <r>
      <rPr>
        <sz val="10"/>
        <color theme="0"/>
        <rFont val="Calibri"/>
        <family val="2"/>
        <scheme val="minor"/>
      </rPr>
      <t>durée</t>
    </r>
    <r>
      <rPr>
        <sz val="10"/>
        <color theme="1"/>
        <rFont val="Calibri"/>
        <family val="2"/>
        <scheme val="minor"/>
      </rPr>
      <t xml:space="preserve">                                                                     en année</t>
    </r>
  </si>
  <si>
    <t>Année recrutement</t>
  </si>
  <si>
    <t>Mois recrutement</t>
  </si>
  <si>
    <t>date début projet</t>
  </si>
  <si>
    <t>Année</t>
  </si>
  <si>
    <t>Mois</t>
  </si>
  <si>
    <t>Date de recrutement</t>
  </si>
  <si>
    <t>Année de recrutement</t>
  </si>
  <si>
    <t>Mois de recrutement</t>
  </si>
  <si>
    <t>Durée du financement demandé en mois</t>
  </si>
  <si>
    <t>Année 1. Durée du financement en mois</t>
  </si>
  <si>
    <t>Année 2. Durée du financement en mois</t>
  </si>
  <si>
    <t>Année 3. Durée du financement en mois</t>
  </si>
  <si>
    <t xml:space="preserve">                   </t>
  </si>
  <si>
    <t>En bleu :    se calcule ou renseigne automatiquement</t>
  </si>
  <si>
    <t>En jaune :  à renseigner</t>
  </si>
  <si>
    <t>En jaune :   à renseigner</t>
  </si>
  <si>
    <t>L'onglet se renseigne pour partie à partir de l'onglet "administratif"</t>
  </si>
  <si>
    <r>
      <rPr>
        <b/>
        <sz val="11"/>
        <color theme="1"/>
        <rFont val="Calibri"/>
        <family val="2"/>
      </rPr>
      <t>Porteur</t>
    </r>
    <r>
      <rPr>
        <sz val="11"/>
        <color theme="1"/>
        <rFont val="Calibri"/>
        <family val="2"/>
      </rPr>
      <t xml:space="preserve"> de projet</t>
    </r>
  </si>
  <si>
    <t>Madame Anaïs GARBAY</t>
  </si>
  <si>
    <t>28, rue Auguste Prost, BP 50248</t>
  </si>
  <si>
    <t>.doc</t>
  </si>
  <si>
    <t>.xls</t>
  </si>
  <si>
    <t>FSI. Pièces à fournir</t>
  </si>
  <si>
    <t>à fournir en format</t>
  </si>
  <si>
    <t>Madame Pauline URIEN</t>
  </si>
  <si>
    <t>Monsieur Hugo RAOUT</t>
  </si>
  <si>
    <t>Madame Laure TANKERE</t>
  </si>
  <si>
    <t>Monsieur  Nicolas BLAISON</t>
  </si>
  <si>
    <t>t.evdokimoff@union-habitat,org</t>
  </si>
  <si>
    <t>AR Occitanie</t>
  </si>
  <si>
    <t>Madame Sandrine GOURNAY</t>
  </si>
  <si>
    <t>Madame Anne-Katrin LE DOEUFF</t>
  </si>
  <si>
    <t>Monsieur Robin HAMADI</t>
  </si>
  <si>
    <t>Madame Mina INEFLAS</t>
  </si>
  <si>
    <t>g.marquie@aura-hlm.org</t>
  </si>
  <si>
    <t>5 place des Frères Voisin</t>
  </si>
  <si>
    <t>15 rue Chateaubriand</t>
  </si>
  <si>
    <t>p.lebars@foph.fr</t>
  </si>
  <si>
    <t>damet@arhlmpacacorse.com</t>
  </si>
  <si>
    <t>b.trutt@arohlm-bretagne.org</t>
  </si>
  <si>
    <t>s.gournay@arca-hlm.com</t>
  </si>
  <si>
    <t>h.lepine@union-habitat.org</t>
  </si>
  <si>
    <t>jboucault@ush-pl.org</t>
  </si>
  <si>
    <t>s.kaouch.arhlmce@union-habitat.org</t>
  </si>
  <si>
    <t>y.thepot@areal-habitat.org</t>
  </si>
  <si>
    <t>c.cousty@esh.fr</t>
  </si>
  <si>
    <t>98 avenue de la Libération</t>
  </si>
  <si>
    <t>Le Bouscat</t>
  </si>
  <si>
    <t>521 avenue du Président Hoover</t>
  </si>
  <si>
    <t>Madame Sabine Veniel Le Navennec</t>
  </si>
  <si>
    <t>1. Logement adapté aux besoins des locataires</t>
  </si>
  <si>
    <t>3. Implication environnementale, citoyenne et sociétale</t>
  </si>
  <si>
    <t>2. Maitrise d'ouvrage Innovante</t>
  </si>
  <si>
    <t>4. organisation efficientes au bénéfice du locataire</t>
  </si>
  <si>
    <t xml:space="preserve">   Région administrative</t>
  </si>
  <si>
    <t>Nom Prénom Resp. projet</t>
  </si>
  <si>
    <t>Les onglets 3, 4 et 7 sont obligatoires.</t>
  </si>
  <si>
    <t>Conformité avec la loi Elan</t>
  </si>
  <si>
    <t>Page du devis permettant de justifier les montants</t>
  </si>
  <si>
    <t>(4)</t>
  </si>
  <si>
    <t>(5)</t>
  </si>
  <si>
    <t>Communication (4)</t>
  </si>
  <si>
    <t>RESSOURCES INTERNES (5)</t>
  </si>
  <si>
    <t>FINANCEMENT</t>
  </si>
  <si>
    <t>Détail calculs pour arriver aux montants indiqués</t>
  </si>
  <si>
    <t>INNOVATION</t>
  </si>
  <si>
    <r>
      <t xml:space="preserve">Le fichiers EXCEL est à fournir à votre Arhlm en </t>
    </r>
    <r>
      <rPr>
        <b/>
        <u/>
        <sz val="14"/>
        <color rgb="FFFF0000"/>
        <rFont val="Calibri"/>
        <family val="2"/>
      </rPr>
      <t>.xls</t>
    </r>
  </si>
  <si>
    <t>Dossier à déposer auprès ARhlm</t>
  </si>
  <si>
    <t>.pdf</t>
  </si>
  <si>
    <t>.pdf/.xls/.wd</t>
  </si>
  <si>
    <t>OUI</t>
  </si>
  <si>
    <t>Pièce 1.1  Courrier de l’organisme au service instructeur avec attestation cotisation et respect dela loi ELAN</t>
  </si>
  <si>
    <t>Pièce 1.2  Note de synthèse.</t>
  </si>
  <si>
    <t>Pièce 1.3  Plan de financement FICHIER EXCEL</t>
  </si>
  <si>
    <t>Pièce1.5  Proposition du(des) prestataire(s)</t>
  </si>
  <si>
    <t>Pièce 2.1 Note de faisabilité juridique si interrogations sur celle-ci</t>
  </si>
  <si>
    <t>Pièce 2.2 Simulation d’impact financier (situation financière problématique)</t>
  </si>
  <si>
    <t>Pièce 1.4 Eléments salariaux</t>
  </si>
  <si>
    <t>Pièce 2.3 Tout autre document susceptible d’éclairer la situation</t>
  </si>
  <si>
    <t>1.1. Accompagner les locataires dans l’appropriation de leur logement</t>
  </si>
  <si>
    <t>1.2. Améliorer la gestion des réclamations techniques et administratives</t>
  </si>
  <si>
    <t>1.3. Favoriser la mobilité dans le parc et les parcours résidentiels</t>
  </si>
  <si>
    <t xml:space="preserve">1.4. Mener des actions en faveur de publics cibles </t>
  </si>
  <si>
    <t xml:space="preserve">1.5. Œuvrer en faveur du pouvoir d’achat des locataires </t>
  </si>
  <si>
    <t xml:space="preserve">1.6. Améliorer la qualité et l’efficacité de la relation locataire - bailleur </t>
  </si>
  <si>
    <t>2.1. Mener des projets innovants de construction, de réhabilitation et de transformation</t>
  </si>
  <si>
    <t>Les thèmes sont listés dans l'onglet "Thèmes éligibles"</t>
  </si>
  <si>
    <t>Mail Pdt du Directoire ou DG</t>
  </si>
  <si>
    <t>Nom Prénom référent ITEROP</t>
  </si>
  <si>
    <t>Nom Pdt du Directoire ou DG</t>
  </si>
  <si>
    <t>Cotisations CGLLS à jour</t>
  </si>
  <si>
    <t>2.2. S’engager dans la seconde vie du bâtiment et le recyclage du foncier</t>
  </si>
  <si>
    <t>2.3. Développer des bâtiments intelligents : infrastructure connectée des bâtiments et domotique</t>
  </si>
  <si>
    <t>2.4. Développer des solutions prédictives de gestion et d’entretien du patrimoine</t>
  </si>
  <si>
    <t>2.5. Agir en faveur de la qualité de l’air intérieur et de la santé dans le logement</t>
  </si>
  <si>
    <t>2.6. Stratégie décarbonation (SNBC)</t>
  </si>
  <si>
    <t>3.1. Agir en faveur de la transition environnementale</t>
  </si>
  <si>
    <t>3.2. Contribuer à l’emploi des locataires et à leur insertion économique</t>
  </si>
  <si>
    <t>3.3. S’engager en faveur de la prévention, de la préservation de la tranquillité et de la sécurité quotidienne</t>
  </si>
  <si>
    <t>3.4. Développer des tiers lieux</t>
  </si>
  <si>
    <t>3.5. Encourager de nouvelles modalités de concertation, de participation et de médiation avec les locataires</t>
  </si>
  <si>
    <t>3.6. Stratégie durabilité</t>
  </si>
  <si>
    <t>4.1. Prévenir les risques cyber</t>
  </si>
  <si>
    <t>4.2. Gestion de crise</t>
  </si>
  <si>
    <t>4.3. Utiliser la data et l’intelligence artificielle au service de l’efficacité</t>
  </si>
  <si>
    <t xml:space="preserve">4.4. Optimiser les attributions et la gestion de la demande </t>
  </si>
  <si>
    <t>4.5. Modernisation et optimisation de la relation clients</t>
  </si>
  <si>
    <t>4.6. Mesure et suivi de la qualité de service (hors enquête triennale)</t>
  </si>
  <si>
    <t>4.7. Communication inclusive et inclusion numérique</t>
  </si>
  <si>
    <t>4.8. Première certification et labellisation et compléments de certification</t>
  </si>
  <si>
    <t xml:space="preserve">(1) </t>
  </si>
  <si>
    <t xml:space="preserve">En E6 : une fois indiqué si le projet est interorganisme </t>
  </si>
  <si>
    <t xml:space="preserve">   -&gt; S'affichent automatiquement en E7 : le plafond etle  taux maximum de l'aide, le montant maimumx alloué à l'achat de licences &amp; logiciels </t>
  </si>
  <si>
    <t>et à la diffusion du projet</t>
  </si>
  <si>
    <t xml:space="preserve">Montants 
en TTC (2) </t>
  </si>
  <si>
    <t>Nombre de salariés formés :</t>
  </si>
  <si>
    <t>(au prorata d'un temps complet)</t>
  </si>
  <si>
    <t>au prorata d'un temps complet)</t>
  </si>
  <si>
    <r>
      <t xml:space="preserve">Acquisitions de licences, logiciels, abonnement et maintenance </t>
    </r>
    <r>
      <rPr>
        <b/>
        <sz val="11"/>
        <color rgb="FFFF0000"/>
        <rFont val="Calibri"/>
        <family val="2"/>
      </rPr>
      <t>(Dépenses plafonnées à 12 mois)</t>
    </r>
  </si>
  <si>
    <t>(2)</t>
  </si>
  <si>
    <r>
      <t xml:space="preserve">Attention : </t>
    </r>
    <r>
      <rPr>
        <sz val="11"/>
        <color rgb="FFFF0000"/>
        <rFont val="Calibri"/>
        <family val="2"/>
      </rPr>
      <t>seules les prestations intellectuelles sont finançables</t>
    </r>
    <r>
      <rPr>
        <sz val="11"/>
        <rFont val="Calibri"/>
        <family val="2"/>
      </rPr>
      <t>. Tout autre nature de dépenses ne l'est pas, yc les frais de bouche, hébergement, déplacements.</t>
    </r>
  </si>
  <si>
    <r>
      <t>Attention :</t>
    </r>
    <r>
      <rPr>
        <sz val="11"/>
        <color rgb="FFFF0000"/>
        <rFont val="Calibri"/>
        <family val="2"/>
      </rPr>
      <t xml:space="preserve"> seules les prestations intellectuelles sont finançables.</t>
    </r>
    <r>
      <rPr>
        <sz val="11"/>
        <rFont val="Calibri"/>
        <family val="2"/>
      </rPr>
      <t xml:space="preserve"> Tout autre nature de dépense ne l'est pas, yc les frais de bouche, hébergement, déplacements.</t>
    </r>
  </si>
  <si>
    <r>
      <t>POSTES</t>
    </r>
    <r>
      <rPr>
        <sz val="12"/>
        <color rgb="FFFF0000"/>
        <rFont val="Calibri"/>
        <family val="2"/>
      </rPr>
      <t xml:space="preserve"> (Montant au porarata du temps complet passé au projet)</t>
    </r>
  </si>
  <si>
    <t>ESH : audits et tests de sécurité informatitiques (cybersécurité) = 40% maximum =&gt; contacter la fédération</t>
  </si>
  <si>
    <t>Pièce 1.2.  Note de synthèse.</t>
  </si>
  <si>
    <t>Pièce 1.3.  Plan de financement.</t>
  </si>
  <si>
    <t>Pièce 1.5.  Proposition du (des) prestataire(s)</t>
  </si>
  <si>
    <t>Pièce 1.4.  Eléments salariaux</t>
  </si>
  <si>
    <t>Pièce 2.1.  Note de faisabilité juridique du projet si interrogation sur celle-ci</t>
  </si>
  <si>
    <t>Pièce 2.2. Simulation d'impact financier si situation financière problématique</t>
  </si>
  <si>
    <t>Pièce 2.3. Tout autre document suceptible d'éclairer la situation</t>
  </si>
  <si>
    <t>AR : Faites une copie en valeur de vos coordonnées pour ne pas avoir à dérouler le menu à chaque fois</t>
  </si>
  <si>
    <t>Pièce 1.1  Courrier de demande de l’organisme à sa fédération</t>
  </si>
  <si>
    <t>Contrôles : ne pas toucher</t>
  </si>
  <si>
    <t>Pièces</t>
  </si>
  <si>
    <t>Les dates sont triées en ordre décroissant, pour satisfaire aux contraintes de la formule EQUIV. Elle est utilisée pour calculer la date de passage en FSI (onglet 3. Plan financement)</t>
  </si>
  <si>
    <t>03/02/20026</t>
  </si>
  <si>
    <t>Dépot sur ITEROP
par la fédération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</si>
</sst>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 #,##0.00\ &quot;€&quot;_-;\-* #,##0.00\ &quot;€&quot;_-;_-* &quot;-&quot;??\ &quot;€&quot;_-;_-@_-"/>
    <numFmt numFmtId="43" formatCode="_-* #,##0.00_-;\-* #,##0.00_-;_-* &quot;-&quot;??_-;_-@_-"/>
    <numFmt numFmtId="164" formatCode="[$-40C]d\-mmm\-yy;@"/>
    <numFmt numFmtId="165" formatCode="_-* #,##0\ &quot;€&quot;_-;\-* #,##0\ &quot;€&quot;_-;_-* &quot;-&quot;??\ &quot;€&quot;_-;_-@_-"/>
    <numFmt numFmtId="166" formatCode="#,##0\ &quot;€&quot;"/>
    <numFmt numFmtId="167" formatCode="0%;\-0%;;@"/>
    <numFmt numFmtId="168" formatCode="#,##0&quot; € max&quot;"/>
    <numFmt numFmtId="169" formatCode="0#&quot; &quot;##&quot; &quot;##&quot; &quot;##&quot; &quot;##"/>
    <numFmt numFmtId="170" formatCode="0&quot; mois&quot;"/>
    <numFmt numFmtId="171" formatCode="0;\-0;;@"/>
    <numFmt numFmtId="172" formatCode="_-* #,##0_-;\-* #,##0_-;_-* &quot;-&quot;??_-;_-@_-"/>
    <numFmt numFmtId="173" formatCode="0.0"/>
    <numFmt numFmtId="174" formatCode="dd/mm/yy;@"/>
    <numFmt numFmtId="175" formatCode="00000"/>
    <numFmt numFmtId="176" formatCode="#,##0\ _€"/>
    <numFmt numFmtId="177" formatCode="_-* #,##0\ _€_-;\-* #,##0\ _€_-;_-* &quot;-&quot;\ _€_-;_-@_-"/>
  </numFmts>
  <fonts count="153" x14ac:knownFonts="1">
    <font>
      <sz val="11"/>
      <color theme="1"/>
      <name val="Calibri"/>
      <family val="2"/>
    </font>
    <font>
      <sz val="11"/>
      <color theme="1"/>
      <name val="Calibri"/>
      <family val="2"/>
      <scheme val="minor"/>
    </font>
    <font>
      <sz val="11"/>
      <color theme="1"/>
      <name val="Calibri"/>
      <family val="2"/>
      <scheme val="minor"/>
    </font>
    <font>
      <sz val="9"/>
      <color theme="1"/>
      <name val="Calibri"/>
      <family val="2"/>
    </font>
    <font>
      <sz val="9"/>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scheme val="minor"/>
    </font>
    <font>
      <sz val="11"/>
      <color theme="1"/>
      <name val="Calibri"/>
      <family val="2"/>
      <scheme val="minor"/>
    </font>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Gill Sans MT"/>
      <family val="2"/>
    </font>
    <font>
      <sz val="11"/>
      <color theme="0"/>
      <name val="Calibri"/>
      <family val="2"/>
    </font>
    <font>
      <sz val="11"/>
      <color theme="1"/>
      <name val="Calibri"/>
      <family val="2"/>
    </font>
    <font>
      <b/>
      <sz val="11"/>
      <color rgb="FFFF7200"/>
      <name val="Calibri"/>
      <family val="2"/>
    </font>
    <font>
      <sz val="10"/>
      <color theme="1"/>
      <name val="Calibri"/>
      <family val="2"/>
    </font>
    <font>
      <sz val="9"/>
      <color theme="1"/>
      <name val="Calibri"/>
      <family val="2"/>
    </font>
    <font>
      <sz val="11"/>
      <name val="Calibri"/>
      <family val="2"/>
    </font>
    <font>
      <b/>
      <sz val="11"/>
      <name val="Calibri"/>
      <family val="2"/>
    </font>
    <font>
      <sz val="9"/>
      <name val="Calibri"/>
      <family val="2"/>
    </font>
    <font>
      <sz val="11"/>
      <color rgb="FF293053"/>
      <name val="Calibri"/>
      <family val="2"/>
    </font>
    <font>
      <b/>
      <u/>
      <sz val="11"/>
      <color theme="1"/>
      <name val="Calibri"/>
      <family val="2"/>
      <scheme val="minor"/>
    </font>
    <font>
      <sz val="10"/>
      <color theme="1"/>
      <name val="Calibri"/>
      <family val="2"/>
      <scheme val="minor"/>
    </font>
    <font>
      <b/>
      <i/>
      <sz val="11"/>
      <color rgb="FFC00000"/>
      <name val="Calibri"/>
      <family val="2"/>
    </font>
    <font>
      <sz val="10"/>
      <name val="Calibri"/>
      <family val="2"/>
    </font>
    <font>
      <b/>
      <sz val="10"/>
      <name val="Calibri"/>
      <family val="2"/>
    </font>
    <font>
      <b/>
      <i/>
      <sz val="10"/>
      <color theme="1"/>
      <name val="Calibri"/>
      <family val="2"/>
    </font>
    <font>
      <b/>
      <sz val="10"/>
      <color theme="1"/>
      <name val="Calibri"/>
      <family val="2"/>
    </font>
    <font>
      <i/>
      <sz val="10"/>
      <color theme="1"/>
      <name val="Calibri"/>
      <family val="2"/>
    </font>
    <font>
      <sz val="10"/>
      <color rgb="FF89B5DB"/>
      <name val="Calibri"/>
      <family val="2"/>
    </font>
    <font>
      <sz val="10"/>
      <color rgb="FFC6D9F1"/>
      <name val="Calibri"/>
      <family val="2"/>
    </font>
    <font>
      <b/>
      <sz val="9"/>
      <color theme="1"/>
      <name val="Calibri"/>
      <family val="2"/>
    </font>
    <font>
      <b/>
      <sz val="11"/>
      <color theme="1"/>
      <name val="Calibri"/>
      <family val="2"/>
      <scheme val="minor"/>
    </font>
    <font>
      <sz val="11"/>
      <color theme="0"/>
      <name val="Calibri"/>
      <family val="2"/>
      <scheme val="minor"/>
    </font>
    <font>
      <sz val="1"/>
      <color theme="1"/>
      <name val="Calibri"/>
      <family val="2"/>
      <scheme val="minor"/>
    </font>
    <font>
      <sz val="9"/>
      <color theme="1"/>
      <name val="Calibri"/>
      <family val="2"/>
      <scheme val="minor"/>
    </font>
    <font>
      <b/>
      <sz val="9"/>
      <color theme="1"/>
      <name val="Calibri"/>
      <family val="2"/>
      <scheme val="minor"/>
    </font>
    <font>
      <b/>
      <sz val="9"/>
      <color rgb="FFC00000"/>
      <name val="Calibri"/>
      <family val="2"/>
      <scheme val="minor"/>
    </font>
    <font>
      <sz val="16"/>
      <color theme="0"/>
      <name val="Calibri"/>
      <family val="2"/>
      <scheme val="minor"/>
    </font>
    <font>
      <sz val="12"/>
      <color theme="0"/>
      <name val="Calibri"/>
      <family val="2"/>
      <scheme val="minor"/>
    </font>
    <font>
      <b/>
      <sz val="11"/>
      <name val="Calibri"/>
      <family val="2"/>
      <scheme val="minor"/>
    </font>
    <font>
      <sz val="11"/>
      <name val="Calibri"/>
      <family val="2"/>
      <scheme val="minor"/>
    </font>
    <font>
      <b/>
      <i/>
      <sz val="11"/>
      <name val="Calibri"/>
      <family val="2"/>
      <scheme val="minor"/>
    </font>
    <font>
      <sz val="10"/>
      <name val="Calibri"/>
      <family val="2"/>
      <scheme val="minor"/>
    </font>
    <font>
      <i/>
      <sz val="10"/>
      <color theme="0" tint="-0.499984740745262"/>
      <name val="Calibri"/>
      <family val="2"/>
      <scheme val="minor"/>
    </font>
    <font>
      <sz val="8"/>
      <color theme="1"/>
      <name val="Calibri"/>
      <family val="2"/>
    </font>
    <font>
      <u/>
      <sz val="11"/>
      <color theme="10"/>
      <name val="Gill Sans MT"/>
      <family val="2"/>
    </font>
    <font>
      <b/>
      <sz val="10"/>
      <color rgb="FFC00000"/>
      <name val="Calibri"/>
      <family val="2"/>
      <scheme val="minor"/>
    </font>
    <font>
      <b/>
      <sz val="8"/>
      <color theme="1"/>
      <name val="Calibri"/>
      <family val="2"/>
    </font>
    <font>
      <b/>
      <sz val="12"/>
      <color theme="1"/>
      <name val="Calibri"/>
      <family val="2"/>
    </font>
    <font>
      <b/>
      <sz val="12"/>
      <name val="Calibri"/>
      <family val="2"/>
    </font>
    <font>
      <b/>
      <sz val="12"/>
      <color rgb="FFFF7200"/>
      <name val="Calibri"/>
      <family val="2"/>
    </font>
    <font>
      <b/>
      <sz val="12"/>
      <color rgb="FFFF7200"/>
      <name val="Wingdings"/>
      <charset val="2"/>
    </font>
    <font>
      <sz val="10"/>
      <color rgb="FFFF7200"/>
      <name val="Calibri"/>
      <family val="2"/>
      <scheme val="minor"/>
    </font>
    <font>
      <sz val="10"/>
      <color rgb="FF89B5DB"/>
      <name val="Calibri"/>
      <family val="2"/>
      <scheme val="minor"/>
    </font>
    <font>
      <sz val="9"/>
      <color indexed="8"/>
      <name val="Calibri"/>
      <family val="2"/>
    </font>
    <font>
      <sz val="10"/>
      <color indexed="8"/>
      <name val="Arial"/>
      <family val="2"/>
    </font>
    <font>
      <b/>
      <sz val="9"/>
      <name val="Calibri"/>
      <family val="2"/>
    </font>
    <font>
      <sz val="12"/>
      <color theme="1"/>
      <name val="Calibri"/>
      <family val="2"/>
    </font>
    <font>
      <sz val="9"/>
      <color rgb="FF000000"/>
      <name val="Calibri"/>
      <family val="2"/>
    </font>
    <font>
      <sz val="9"/>
      <color rgb="FFC00000"/>
      <name val="Calibri"/>
      <family val="2"/>
    </font>
    <font>
      <u/>
      <sz val="10"/>
      <color theme="10"/>
      <name val="Calibri"/>
      <family val="2"/>
      <scheme val="minor"/>
    </font>
    <font>
      <b/>
      <sz val="10"/>
      <color theme="1"/>
      <name val="Calibri"/>
      <family val="2"/>
      <scheme val="minor"/>
    </font>
    <font>
      <u/>
      <sz val="10"/>
      <color theme="10"/>
      <name val="Calibri"/>
      <family val="2"/>
    </font>
    <font>
      <b/>
      <sz val="17"/>
      <color theme="1"/>
      <name val="Wingdings"/>
      <charset val="2"/>
    </font>
    <font>
      <sz val="8"/>
      <color theme="1"/>
      <name val="Calibri"/>
      <family val="2"/>
      <scheme val="minor"/>
    </font>
    <font>
      <sz val="8"/>
      <color theme="0"/>
      <name val="Calibri"/>
      <family val="2"/>
      <scheme val="minor"/>
    </font>
    <font>
      <sz val="9"/>
      <name val="Calibri"/>
      <family val="2"/>
      <scheme val="minor"/>
    </font>
    <font>
      <sz val="6"/>
      <color rgb="FF444444"/>
      <name val="Arial"/>
      <family val="2"/>
    </font>
    <font>
      <sz val="9"/>
      <color theme="0"/>
      <name val="Calibri"/>
      <family val="2"/>
      <scheme val="minor"/>
    </font>
    <font>
      <sz val="8"/>
      <name val="Calibri"/>
      <family val="2"/>
      <scheme val="minor"/>
    </font>
    <font>
      <b/>
      <sz val="11"/>
      <color theme="1"/>
      <name val="Calibri"/>
      <family val="2"/>
    </font>
    <font>
      <b/>
      <sz val="9"/>
      <color theme="3" tint="0.39997558519241921"/>
      <name val="Calibri"/>
      <family val="2"/>
    </font>
    <font>
      <sz val="11"/>
      <color rgb="FF5A5A5A"/>
      <name val="Calibri"/>
      <family val="2"/>
    </font>
    <font>
      <sz val="28"/>
      <color theme="1"/>
      <name val="Calibri"/>
      <family val="2"/>
    </font>
    <font>
      <b/>
      <sz val="11"/>
      <color theme="3" tint="0.39997558519241921"/>
      <name val="Calibri"/>
      <family val="2"/>
    </font>
    <font>
      <b/>
      <u/>
      <sz val="11"/>
      <color theme="3" tint="0.39997558519241921"/>
      <name val="Calibri"/>
      <family val="2"/>
    </font>
    <font>
      <i/>
      <sz val="11"/>
      <color theme="1"/>
      <name val="Calibri"/>
      <family val="2"/>
    </font>
    <font>
      <sz val="11"/>
      <color rgb="FFC00000"/>
      <name val="Calibri"/>
      <family val="2"/>
    </font>
    <font>
      <b/>
      <sz val="11"/>
      <color rgb="FFC00000"/>
      <name val="Calibri"/>
      <family val="2"/>
    </font>
    <font>
      <b/>
      <sz val="11"/>
      <color rgb="FFC00000"/>
      <name val="Symbol"/>
      <family val="1"/>
      <charset val="2"/>
    </font>
    <font>
      <i/>
      <sz val="11"/>
      <color rgb="FFC00000"/>
      <name val="Calibri"/>
      <family val="2"/>
    </font>
    <font>
      <sz val="11"/>
      <color theme="3" tint="0.39997558519241921"/>
      <name val="Webdings"/>
      <family val="1"/>
      <charset val="2"/>
    </font>
    <font>
      <b/>
      <sz val="10.5"/>
      <name val="Calibri"/>
      <family val="2"/>
    </font>
    <font>
      <i/>
      <sz val="10"/>
      <color rgb="FFC00000"/>
      <name val="Calibri"/>
      <family val="2"/>
    </font>
    <font>
      <sz val="10"/>
      <color rgb="FFC00000"/>
      <name val="Calibri"/>
      <family val="2"/>
    </font>
    <font>
      <sz val="10"/>
      <color theme="3" tint="0.39997558519241921"/>
      <name val="Calibri"/>
      <family val="2"/>
    </font>
    <font>
      <b/>
      <u/>
      <sz val="11"/>
      <color theme="1"/>
      <name val="Calibri"/>
      <family val="2"/>
    </font>
    <font>
      <b/>
      <i/>
      <sz val="11"/>
      <color theme="1"/>
      <name val="Calibri"/>
      <family val="2"/>
    </font>
    <font>
      <sz val="12"/>
      <color theme="0"/>
      <name val="Calibri"/>
      <family val="2"/>
    </font>
    <font>
      <sz val="12"/>
      <name val="Calibri"/>
      <family val="2"/>
    </font>
    <font>
      <i/>
      <sz val="11"/>
      <name val="Calibri"/>
      <family val="2"/>
    </font>
    <font>
      <sz val="11"/>
      <color rgb="FFFF0000"/>
      <name val="Calibri"/>
      <family val="2"/>
    </font>
    <font>
      <b/>
      <sz val="11"/>
      <color rgb="FFFF0000"/>
      <name val="Calibri"/>
      <family val="2"/>
    </font>
    <font>
      <b/>
      <sz val="14"/>
      <name val="Calibri"/>
      <family val="2"/>
    </font>
    <font>
      <sz val="14"/>
      <name val="Calibri"/>
      <family val="2"/>
    </font>
    <font>
      <b/>
      <sz val="12"/>
      <color theme="1"/>
      <name val="Calibri"/>
      <family val="2"/>
      <scheme val="minor"/>
    </font>
    <font>
      <b/>
      <u/>
      <sz val="11"/>
      <color rgb="FFC00000"/>
      <name val="Calibri"/>
      <family val="2"/>
      <scheme val="minor"/>
    </font>
    <font>
      <i/>
      <sz val="11"/>
      <color theme="0" tint="-0.499984740745262"/>
      <name val="Calibri"/>
      <family val="2"/>
      <scheme val="minor"/>
    </font>
    <font>
      <sz val="11"/>
      <color theme="0" tint="-0.499984740745262"/>
      <name val="Calibri"/>
      <family val="2"/>
    </font>
    <font>
      <b/>
      <u/>
      <sz val="12"/>
      <name val="Calibri"/>
      <family val="2"/>
    </font>
    <font>
      <sz val="10"/>
      <color theme="1" tint="0.34998626667073579"/>
      <name val="Calibri"/>
      <family val="2"/>
    </font>
    <font>
      <sz val="10"/>
      <color theme="1"/>
      <name val="Symbol"/>
      <family val="1"/>
      <charset val="2"/>
    </font>
    <font>
      <sz val="11"/>
      <color theme="4" tint="-0.249977111117893"/>
      <name val="Calibri"/>
      <family val="2"/>
      <scheme val="minor"/>
    </font>
    <font>
      <i/>
      <sz val="11"/>
      <color theme="1"/>
      <name val="Calibri"/>
      <family val="2"/>
      <scheme val="minor"/>
    </font>
    <font>
      <i/>
      <sz val="10"/>
      <color theme="1"/>
      <name val="Calibri"/>
      <family val="2"/>
      <scheme val="minor"/>
    </font>
    <font>
      <sz val="11"/>
      <color rgb="FF000000"/>
      <name val="Calibri"/>
      <family val="2"/>
    </font>
    <font>
      <b/>
      <sz val="9"/>
      <name val="Calibri"/>
      <family val="2"/>
      <scheme val="minor"/>
    </font>
    <font>
      <sz val="9"/>
      <color indexed="8"/>
      <name val="Calibri"/>
      <family val="2"/>
    </font>
    <font>
      <sz val="10"/>
      <color indexed="8"/>
      <name val="Arial"/>
      <family val="2"/>
    </font>
    <font>
      <b/>
      <sz val="14"/>
      <color rgb="FFFF0000"/>
      <name val="Calibri"/>
      <family val="2"/>
    </font>
    <font>
      <sz val="10.5"/>
      <color theme="1"/>
      <name val="Calibri"/>
      <family val="2"/>
    </font>
    <font>
      <b/>
      <sz val="10.5"/>
      <color theme="1"/>
      <name val="Calibri"/>
      <family val="2"/>
    </font>
    <font>
      <sz val="9"/>
      <color theme="0"/>
      <name val="Calibri"/>
      <family val="2"/>
    </font>
    <font>
      <sz val="11"/>
      <color theme="0"/>
      <name val="Gill Sans MT"/>
      <family val="2"/>
    </font>
    <font>
      <b/>
      <sz val="11"/>
      <color theme="3"/>
      <name val="Calibri"/>
      <family val="2"/>
    </font>
    <font>
      <b/>
      <sz val="12"/>
      <color theme="0"/>
      <name val="Calibri"/>
      <family val="2"/>
      <scheme val="minor"/>
    </font>
    <font>
      <sz val="10"/>
      <color theme="0"/>
      <name val="Calibri"/>
      <family val="2"/>
      <scheme val="minor"/>
    </font>
    <font>
      <sz val="8"/>
      <name val="Gill Sans MT"/>
      <family val="2"/>
    </font>
    <font>
      <sz val="18"/>
      <color theme="3"/>
      <name val="Calibri"/>
      <family val="2"/>
      <scheme val="major"/>
    </font>
    <font>
      <u/>
      <sz val="12"/>
      <color theme="4" tint="-0.24994659260841701"/>
      <name val="Century Gothic"/>
      <family val="2"/>
    </font>
    <font>
      <b/>
      <u/>
      <sz val="11"/>
      <name val="Calibri"/>
      <family val="2"/>
    </font>
    <font>
      <b/>
      <u/>
      <sz val="10"/>
      <name val="Calibri"/>
      <family val="2"/>
    </font>
    <font>
      <b/>
      <u/>
      <sz val="14"/>
      <color rgb="FFFF0000"/>
      <name val="Calibri"/>
      <family val="2"/>
    </font>
    <font>
      <b/>
      <sz val="9"/>
      <color rgb="FFFF0000"/>
      <name val="Calibri"/>
      <family val="2"/>
    </font>
    <font>
      <b/>
      <sz val="16"/>
      <name val="Calibri"/>
      <family val="2"/>
    </font>
    <font>
      <b/>
      <sz val="10"/>
      <color rgb="FFFF0000"/>
      <name val="Calibri"/>
      <family val="2"/>
    </font>
    <font>
      <b/>
      <sz val="14"/>
      <color theme="0"/>
      <name val="Calibri"/>
      <family val="2"/>
    </font>
    <font>
      <b/>
      <sz val="12"/>
      <color theme="0"/>
      <name val="Calibri"/>
      <family val="2"/>
    </font>
    <font>
      <b/>
      <sz val="12"/>
      <color rgb="FFFF0000"/>
      <name val="Calibri"/>
      <family val="2"/>
    </font>
    <font>
      <b/>
      <sz val="10"/>
      <color theme="0"/>
      <name val="Calibri"/>
      <family val="2"/>
    </font>
    <font>
      <sz val="9"/>
      <color indexed="81"/>
      <name val="Tahoma"/>
      <family val="2"/>
    </font>
    <font>
      <b/>
      <sz val="9"/>
      <color indexed="81"/>
      <name val="Tahoma"/>
      <family val="2"/>
    </font>
    <font>
      <b/>
      <sz val="16"/>
      <color theme="1"/>
      <name val="Calibri"/>
      <family val="2"/>
    </font>
    <font>
      <b/>
      <i/>
      <sz val="16"/>
      <color theme="1"/>
      <name val="Calibri"/>
      <family val="2"/>
    </font>
    <font>
      <i/>
      <sz val="16"/>
      <color theme="1"/>
      <name val="Calibri"/>
      <family val="2"/>
    </font>
    <font>
      <b/>
      <sz val="16"/>
      <color rgb="FFFFFF00"/>
      <name val="Calibri"/>
      <family val="2"/>
    </font>
    <font>
      <b/>
      <sz val="16"/>
      <color theme="0"/>
      <name val="Calibri"/>
      <family val="2"/>
    </font>
    <font>
      <sz val="14"/>
      <color theme="1"/>
      <name val="Calibri"/>
      <family val="2"/>
    </font>
    <font>
      <b/>
      <sz val="14"/>
      <color theme="1"/>
      <name val="Calibri"/>
      <family val="2"/>
    </font>
    <font>
      <b/>
      <u/>
      <sz val="12"/>
      <color theme="1"/>
      <name val="Calibri"/>
      <family val="2"/>
    </font>
    <font>
      <sz val="11"/>
      <color theme="1"/>
      <name val="Calibri"/>
      <family val="2"/>
      <scheme val="major"/>
    </font>
    <font>
      <i/>
      <sz val="11"/>
      <color theme="1"/>
      <name val="Calibri"/>
      <family val="2"/>
      <scheme val="major"/>
    </font>
    <font>
      <sz val="9.5"/>
      <color theme="1"/>
      <name val="Calibri"/>
      <family val="2"/>
    </font>
    <font>
      <b/>
      <sz val="10.9"/>
      <name val="Calibri"/>
      <family val="2"/>
    </font>
    <font>
      <b/>
      <sz val="11"/>
      <color theme="0"/>
      <name val="Calibri"/>
      <family val="2"/>
    </font>
    <font>
      <sz val="12"/>
      <color rgb="FFFF0000"/>
      <name val="Calibri"/>
      <family val="2"/>
    </font>
    <font>
      <b/>
      <sz val="8"/>
      <name val="Calibri"/>
      <family val="2"/>
      <scheme val="minor"/>
    </font>
  </fonts>
  <fills count="25">
    <fill>
      <patternFill patternType="none"/>
    </fill>
    <fill>
      <patternFill patternType="gray125"/>
    </fill>
    <fill>
      <patternFill patternType="solid">
        <fgColor rgb="FF293053"/>
        <bgColor indexed="64"/>
      </patternFill>
    </fill>
    <fill>
      <patternFill patternType="solid">
        <fgColor theme="0"/>
        <bgColor indexed="64"/>
      </patternFill>
    </fill>
    <fill>
      <patternFill patternType="solid">
        <fgColor theme="0" tint="-0.14999847407452621"/>
        <bgColor indexed="64"/>
      </patternFill>
    </fill>
    <fill>
      <patternFill patternType="solid">
        <fgColor rgb="FFFF720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C6D9F1"/>
        <bgColor indexed="64"/>
      </patternFill>
    </fill>
    <fill>
      <patternFill patternType="solid">
        <fgColor rgb="FFD9D9D9"/>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FFCC"/>
        <bgColor indexed="64"/>
      </patternFill>
    </fill>
    <fill>
      <patternFill patternType="solid">
        <fgColor rgb="FFE4E4E4"/>
        <bgColor indexed="64"/>
      </patternFill>
    </fill>
    <fill>
      <patternFill patternType="solid">
        <fgColor theme="8" tint="0.59999389629810485"/>
        <bgColor indexed="64"/>
      </patternFill>
    </fill>
    <fill>
      <patternFill patternType="solid">
        <fgColor rgb="FFD4E2F4"/>
        <bgColor indexed="64"/>
      </patternFill>
    </fill>
    <fill>
      <patternFill patternType="solid">
        <fgColor rgb="FFFFFFE1"/>
        <bgColor indexed="64"/>
      </patternFill>
    </fill>
    <fill>
      <patternFill patternType="solid">
        <fgColor theme="8" tint="0.39997558519241921"/>
        <bgColor indexed="64"/>
      </patternFill>
    </fill>
    <fill>
      <patternFill patternType="solid">
        <fgColor theme="8"/>
        <bgColor theme="8"/>
      </patternFill>
    </fill>
    <fill>
      <patternFill patternType="solid">
        <fgColor theme="8" tint="0.79998168889431442"/>
        <bgColor theme="8" tint="0.79998168889431442"/>
      </patternFill>
    </fill>
    <fill>
      <patternFill patternType="solid">
        <fgColor theme="0"/>
        <bgColor indexed="0"/>
      </patternFill>
    </fill>
    <fill>
      <patternFill patternType="solid">
        <fgColor rgb="FF002060"/>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0" tint="-0.249977111117893"/>
        <bgColor indexed="64"/>
      </patternFill>
    </fill>
  </fills>
  <borders count="113">
    <border>
      <left/>
      <right/>
      <top/>
      <bottom/>
      <diagonal/>
    </border>
    <border>
      <left style="thin">
        <color theme="0" tint="-0.499984740745262"/>
      </left>
      <right style="thin">
        <color theme="0" tint="-0.499984740745262"/>
      </right>
      <top/>
      <bottom/>
      <diagonal/>
    </border>
    <border>
      <left style="thin">
        <color rgb="FF293053"/>
      </left>
      <right/>
      <top style="thin">
        <color rgb="FF293053"/>
      </top>
      <bottom style="thin">
        <color rgb="FF293053"/>
      </bottom>
      <diagonal/>
    </border>
    <border>
      <left/>
      <right style="thin">
        <color rgb="FF293053"/>
      </right>
      <top style="thin">
        <color rgb="FF293053"/>
      </top>
      <bottom style="thin">
        <color rgb="FF293053"/>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rgb="FF293053"/>
      </top>
      <bottom style="thin">
        <color rgb="FF293053"/>
      </bottom>
      <diagonal/>
    </border>
    <border>
      <left/>
      <right/>
      <top style="thin">
        <color indexed="64"/>
      </top>
      <bottom/>
      <diagonal/>
    </border>
    <border>
      <left/>
      <right/>
      <top/>
      <bottom style="thin">
        <color indexed="64"/>
      </bottom>
      <diagonal/>
    </border>
    <border>
      <left style="thin">
        <color rgb="FF999999"/>
      </left>
      <right style="thin">
        <color rgb="FF999999"/>
      </right>
      <top style="thin">
        <color rgb="FF999999"/>
      </top>
      <bottom style="thin">
        <color rgb="FF999999"/>
      </bottom>
      <diagonal/>
    </border>
    <border>
      <left/>
      <right/>
      <top style="thin">
        <color rgb="FF999999"/>
      </top>
      <bottom/>
      <diagonal/>
    </border>
    <border>
      <left/>
      <right style="thin">
        <color rgb="FF999999"/>
      </right>
      <top style="thin">
        <color rgb="FF999999"/>
      </top>
      <bottom/>
      <diagonal/>
    </border>
    <border>
      <left/>
      <right/>
      <top/>
      <bottom style="thin">
        <color rgb="FF999999"/>
      </bottom>
      <diagonal/>
    </border>
    <border>
      <left/>
      <right style="thin">
        <color rgb="FF999999"/>
      </right>
      <top/>
      <bottom style="thin">
        <color rgb="FF999999"/>
      </bottom>
      <diagonal/>
    </border>
    <border>
      <left/>
      <right style="thin">
        <color rgb="FF999999"/>
      </right>
      <top/>
      <bottom/>
      <diagonal/>
    </border>
    <border>
      <left style="thin">
        <color rgb="FF999999"/>
      </left>
      <right style="thin">
        <color rgb="FF999999"/>
      </right>
      <top/>
      <bottom style="thin">
        <color rgb="FF999999"/>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999999"/>
      </left>
      <right/>
      <top style="thin">
        <color rgb="FF999999"/>
      </top>
      <bottom/>
      <diagonal/>
    </border>
    <border>
      <left style="thin">
        <color rgb="FF999999"/>
      </left>
      <right/>
      <top/>
      <bottom style="thin">
        <color rgb="FF999999"/>
      </bottom>
      <diagonal/>
    </border>
    <border>
      <left style="thin">
        <color theme="0" tint="-0.34998626667073579"/>
      </left>
      <right/>
      <top style="thin">
        <color rgb="FF999999"/>
      </top>
      <bottom style="thin">
        <color rgb="FF999999"/>
      </bottom>
      <diagonal/>
    </border>
    <border>
      <left/>
      <right style="thin">
        <color theme="0" tint="-0.34998626667073579"/>
      </right>
      <top style="thin">
        <color rgb="FF999999"/>
      </top>
      <bottom/>
      <diagonal/>
    </border>
    <border>
      <left/>
      <right style="thin">
        <color theme="0" tint="-0.34998626667073579"/>
      </right>
      <top/>
      <bottom/>
      <diagonal/>
    </border>
    <border>
      <left style="thin">
        <color rgb="FF999999"/>
      </left>
      <right style="thin">
        <color rgb="FF999999"/>
      </right>
      <top style="thin">
        <color rgb="FF999999"/>
      </top>
      <bottom/>
      <diagonal/>
    </border>
    <border>
      <left/>
      <right/>
      <top style="thin">
        <color rgb="FF293053"/>
      </top>
      <bottom/>
      <diagonal/>
    </border>
    <border>
      <left style="thin">
        <color auto="1"/>
      </left>
      <right/>
      <top style="thin">
        <color rgb="FF999999"/>
      </top>
      <bottom style="thin">
        <color rgb="FF999999"/>
      </bottom>
      <diagonal/>
    </border>
    <border>
      <left/>
      <right style="thin">
        <color auto="1"/>
      </right>
      <top style="thin">
        <color rgb="FF999999"/>
      </top>
      <bottom style="thin">
        <color rgb="FF999999"/>
      </bottom>
      <diagonal/>
    </border>
    <border>
      <left style="thin">
        <color auto="1"/>
      </left>
      <right style="thin">
        <color rgb="FF999999"/>
      </right>
      <top/>
      <bottom style="thin">
        <color rgb="FF999999"/>
      </bottom>
      <diagonal/>
    </border>
    <border>
      <left style="thin">
        <color rgb="FF999999"/>
      </left>
      <right style="thin">
        <color auto="1"/>
      </right>
      <top/>
      <bottom style="thin">
        <color rgb="FF999999"/>
      </bottom>
      <diagonal/>
    </border>
    <border>
      <left style="thin">
        <color auto="1"/>
      </left>
      <right style="thin">
        <color rgb="FF999999"/>
      </right>
      <top style="thin">
        <color rgb="FF999999"/>
      </top>
      <bottom style="thin">
        <color rgb="FF999999"/>
      </bottom>
      <diagonal/>
    </border>
    <border>
      <left style="thin">
        <color auto="1"/>
      </left>
      <right/>
      <top style="thin">
        <color rgb="FF999999"/>
      </top>
      <bottom/>
      <diagonal/>
    </border>
    <border>
      <left style="thin">
        <color rgb="FF999999"/>
      </left>
      <right style="thin">
        <color auto="1"/>
      </right>
      <top style="thin">
        <color rgb="FF999999"/>
      </top>
      <bottom style="thin">
        <color rgb="FF999999"/>
      </bottom>
      <diagonal/>
    </border>
    <border>
      <left style="thin">
        <color auto="1"/>
      </left>
      <right/>
      <top/>
      <bottom style="thin">
        <color rgb="FF999999"/>
      </bottom>
      <diagonal/>
    </border>
    <border>
      <left style="thin">
        <color auto="1"/>
      </left>
      <right style="thin">
        <color rgb="FF999999"/>
      </right>
      <top style="thin">
        <color rgb="FF999999"/>
      </top>
      <bottom/>
      <diagonal/>
    </border>
    <border>
      <left style="thin">
        <color rgb="FF999999"/>
      </left>
      <right style="thin">
        <color auto="1"/>
      </right>
      <top style="thin">
        <color rgb="FF999999"/>
      </top>
      <bottom/>
      <diagonal/>
    </border>
    <border>
      <left/>
      <right style="thin">
        <color auto="1"/>
      </right>
      <top style="thin">
        <color rgb="FF999999"/>
      </top>
      <bottom/>
      <diagonal/>
    </border>
    <border>
      <left/>
      <right style="thin">
        <color auto="1"/>
      </right>
      <top/>
      <bottom style="thin">
        <color rgb="FF999999"/>
      </bottom>
      <diagonal/>
    </border>
    <border>
      <left style="thin">
        <color indexed="22"/>
      </left>
      <right style="thin">
        <color indexed="22"/>
      </right>
      <top style="thin">
        <color indexed="22"/>
      </top>
      <bottom style="thin">
        <color indexed="22"/>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style="thin">
        <color rgb="FF293053"/>
      </top>
      <bottom/>
      <diagonal/>
    </border>
    <border>
      <left style="thin">
        <color theme="0" tint="-0.499984740745262"/>
      </left>
      <right style="thin">
        <color theme="0" tint="-0.24994659260841701"/>
      </right>
      <top/>
      <bottom/>
      <diagonal/>
    </border>
    <border>
      <left/>
      <right/>
      <top style="thin">
        <color rgb="FFFF7200"/>
      </top>
      <bottom style="thin">
        <color rgb="FFFF7200"/>
      </bottom>
      <diagonal/>
    </border>
    <border>
      <left style="mediumDashed">
        <color auto="1"/>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theme="0"/>
      </left>
      <right style="thin">
        <color theme="0"/>
      </right>
      <top style="thin">
        <color theme="0"/>
      </top>
      <bottom style="thin">
        <color theme="0"/>
      </bottom>
      <diagonal/>
    </border>
    <border>
      <left style="mediumDashed">
        <color auto="1"/>
      </left>
      <right style="thin">
        <color theme="0"/>
      </right>
      <top style="thin">
        <color theme="0"/>
      </top>
      <bottom style="thin">
        <color theme="0"/>
      </bottom>
      <diagonal/>
    </border>
    <border>
      <left/>
      <right/>
      <top style="thin">
        <color theme="0" tint="-0.34998626667073579"/>
      </top>
      <bottom/>
      <diagonal/>
    </border>
    <border>
      <left style="thin">
        <color theme="0" tint="-0.499984740745262"/>
      </left>
      <right style="thin">
        <color theme="0" tint="-0.499984740745262"/>
      </right>
      <top style="thin">
        <color theme="0"/>
      </top>
      <bottom/>
      <diagonal/>
    </border>
    <border>
      <left/>
      <right/>
      <top/>
      <bottom style="thin">
        <color theme="0" tint="-0.14996795556505021"/>
      </bottom>
      <diagonal/>
    </border>
    <border>
      <left style="thin">
        <color indexed="8"/>
      </left>
      <right style="thin">
        <color indexed="8"/>
      </right>
      <top style="thin">
        <color indexed="8"/>
      </top>
      <bottom style="thin">
        <color indexed="8"/>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auto="1"/>
      </left>
      <right style="thin">
        <color auto="1"/>
      </right>
      <top style="thin">
        <color auto="1"/>
      </top>
      <bottom style="thin">
        <color auto="1"/>
      </bottom>
      <diagonal/>
    </border>
    <border>
      <left/>
      <right/>
      <top/>
      <bottom style="thin">
        <color theme="8" tint="-0.499984740745262"/>
      </bottom>
      <diagonal/>
    </border>
    <border>
      <left/>
      <right/>
      <top style="thin">
        <color theme="8"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8" tint="0.39997558519241921"/>
      </top>
      <bottom style="thin">
        <color theme="8" tint="-0.499984740745262"/>
      </bottom>
      <diagonal/>
    </border>
    <border>
      <left/>
      <right style="thin">
        <color theme="8" tint="0.39997558519241921"/>
      </right>
      <top style="thin">
        <color theme="8" tint="0.39997558519241921"/>
      </top>
      <bottom style="thin">
        <color theme="8" tint="-0.499984740745262"/>
      </bottom>
      <diagonal/>
    </border>
    <border>
      <left style="thin">
        <color theme="8" tint="0.39997558519241921"/>
      </left>
      <right/>
      <top style="thin">
        <color theme="8" tint="0.39997558519241921"/>
      </top>
      <bottom style="thin">
        <color theme="8" tint="0.39997558519241921"/>
      </bottom>
      <diagonal/>
    </border>
    <border>
      <left/>
      <right/>
      <top style="thin">
        <color theme="8" tint="-0.499984740745262"/>
      </top>
      <bottom style="thin">
        <color theme="8" tint="0.39997558519241921"/>
      </bottom>
      <diagonal/>
    </border>
    <border>
      <left/>
      <right/>
      <top style="thin">
        <color theme="8" tint="0.39997558519241921"/>
      </top>
      <bottom style="thin">
        <color theme="8" tint="0.39997558519241921"/>
      </bottom>
      <diagonal/>
    </border>
    <border>
      <left/>
      <right style="thin">
        <color theme="8" tint="0.39997558519241921"/>
      </right>
      <top style="thin">
        <color theme="8" tint="0.39997558519241921"/>
      </top>
      <bottom style="thin">
        <color theme="8" tint="0.39997558519241921"/>
      </bottom>
      <diagonal/>
    </border>
    <border>
      <left style="thin">
        <color theme="8" tint="0.39997558519241921"/>
      </left>
      <right/>
      <top style="thin">
        <color theme="8" tint="0.39997558519241921"/>
      </top>
      <bottom/>
      <diagonal/>
    </border>
    <border>
      <left/>
      <right/>
      <top style="thin">
        <color theme="8" tint="0.39997558519241921"/>
      </top>
      <bottom/>
      <diagonal/>
    </border>
    <border>
      <left style="thin">
        <color theme="8" tint="0.39997558519241921"/>
      </left>
      <right/>
      <top style="thin">
        <color theme="8" tint="-0.499984740745262"/>
      </top>
      <bottom/>
      <diagonal/>
    </border>
    <border>
      <left/>
      <right style="thin">
        <color theme="8" tint="0.39997558519241921"/>
      </right>
      <top style="thin">
        <color theme="8" tint="-0.499984740745262"/>
      </top>
      <bottom style="thin">
        <color theme="8" tint="0.39997558519241921"/>
      </bottom>
      <diagonal/>
    </border>
    <border>
      <left/>
      <right/>
      <top/>
      <bottom style="thin">
        <color theme="0" tint="-0.499984740745262"/>
      </bottom>
      <diagonal/>
    </border>
    <border>
      <left style="thin">
        <color theme="0" tint="-0.14993743705557422"/>
      </left>
      <right/>
      <top/>
      <bottom/>
      <diagonal/>
    </border>
    <border>
      <left/>
      <right style="thin">
        <color theme="0" tint="-0.14993743705557422"/>
      </right>
      <top/>
      <bottom/>
      <diagonal/>
    </border>
    <border>
      <left style="thin">
        <color theme="0" tint="-0.14993743705557422"/>
      </left>
      <right/>
      <top/>
      <bottom style="thin">
        <color theme="0" tint="-0.14996795556505021"/>
      </bottom>
      <diagonal/>
    </border>
    <border>
      <left/>
      <right style="thin">
        <color theme="0" tint="-0.14993743705557422"/>
      </right>
      <top/>
      <bottom style="thin">
        <color theme="0" tint="-0.14996795556505021"/>
      </bottom>
      <diagonal/>
    </border>
    <border>
      <left/>
      <right style="mediumDashed">
        <color auto="1"/>
      </right>
      <top/>
      <bottom/>
      <diagonal/>
    </border>
    <border>
      <left/>
      <right style="thin">
        <color theme="0" tint="-0.499984740745262"/>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top/>
      <bottom style="medium">
        <color indexed="64"/>
      </bottom>
      <diagonal/>
    </border>
    <border>
      <left/>
      <right/>
      <top/>
      <bottom style="medium">
        <color indexed="64"/>
      </bottom>
      <diagonal/>
    </border>
    <border>
      <left style="thin">
        <color theme="0" tint="-4.9989318521683403E-2"/>
      </left>
      <right/>
      <top style="thin">
        <color theme="0" tint="-4.9989318521683403E-2"/>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1"/>
      </top>
      <bottom/>
      <diagonal/>
    </border>
    <border>
      <left/>
      <right style="thin">
        <color theme="0" tint="-4.9989318521683403E-2"/>
      </right>
      <top style="thin">
        <color theme="1"/>
      </top>
      <bottom/>
      <diagonal/>
    </border>
    <border>
      <left style="thin">
        <color theme="0" tint="-4.9989318521683403E-2"/>
      </left>
      <right style="thin">
        <color theme="0" tint="-4.9989318521683403E-2"/>
      </right>
      <top style="thin">
        <color theme="1"/>
      </top>
      <bottom/>
      <diagonal/>
    </border>
    <border>
      <left/>
      <right style="thin">
        <color theme="0"/>
      </right>
      <top/>
      <bottom/>
      <diagonal/>
    </border>
    <border>
      <left style="thin">
        <color theme="0"/>
      </left>
      <right style="thin">
        <color theme="0"/>
      </right>
      <top/>
      <bottom/>
      <diagonal/>
    </border>
    <border>
      <left style="thin">
        <color theme="0" tint="-4.9989318521683403E-2"/>
      </left>
      <right style="thin">
        <color theme="0"/>
      </right>
      <top style="thin">
        <color theme="1"/>
      </top>
      <bottom/>
      <diagonal/>
    </border>
    <border>
      <left style="thin">
        <color theme="0" tint="-4.9989318521683403E-2"/>
      </left>
      <right style="thin">
        <color theme="0"/>
      </right>
      <top/>
      <bottom style="thin">
        <color theme="0" tint="-4.9989318521683403E-2"/>
      </bottom>
      <diagonal/>
    </border>
    <border>
      <left style="thin">
        <color theme="0" tint="-0.499984740745262"/>
      </left>
      <right style="thin">
        <color theme="0" tint="-0.499984740745262"/>
      </right>
      <top style="thin">
        <color theme="0" tint="-4.9989318521683403E-2"/>
      </top>
      <bottom/>
      <diagonal/>
    </border>
    <border>
      <left style="thin">
        <color theme="0" tint="-4.9989318521683403E-2"/>
      </left>
      <right style="thin">
        <color theme="0" tint="-0.499984740745262"/>
      </right>
      <top style="thin">
        <color theme="0" tint="-4.9989318521683403E-2"/>
      </top>
      <bottom style="thin">
        <color theme="0" tint="-4.9989318521683403E-2"/>
      </bottom>
      <diagonal/>
    </border>
    <border>
      <left style="thin">
        <color theme="0" tint="-0.499984740745262"/>
      </left>
      <right style="thin">
        <color theme="0" tint="-0.499984740745262"/>
      </right>
      <top style="thin">
        <color theme="0" tint="-4.9989318521683403E-2"/>
      </top>
      <bottom style="thin">
        <color theme="0" tint="-4.9989318521683403E-2"/>
      </bottom>
      <diagonal/>
    </border>
    <border>
      <left style="thin">
        <color theme="0" tint="-0.499984740745262"/>
      </left>
      <right style="thin">
        <color theme="0" tint="-0.499984740745262"/>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tted">
        <color theme="0" tint="-4.9989318521683403E-2"/>
      </right>
      <top/>
      <bottom/>
      <diagonal/>
    </border>
    <border>
      <left style="dotted">
        <color theme="0" tint="-4.9989318521683403E-2"/>
      </left>
      <right/>
      <top style="dotted">
        <color theme="0" tint="-4.9989318521683403E-2"/>
      </top>
      <bottom style="dotted">
        <color theme="0" tint="-4.9989318521683403E-2"/>
      </bottom>
      <diagonal/>
    </border>
    <border>
      <left/>
      <right style="thin">
        <color indexed="64"/>
      </right>
      <top style="dotted">
        <color theme="0" tint="-4.9989318521683403E-2"/>
      </top>
      <bottom style="dotted">
        <color theme="0" tint="-4.9989318521683403E-2"/>
      </bottom>
      <diagonal/>
    </border>
  </borders>
  <cellStyleXfs count="16">
    <xf numFmtId="0" fontId="0" fillId="3" borderId="0">
      <alignment horizontal="left" indent="1"/>
    </xf>
    <xf numFmtId="44" fontId="16" fillId="0" borderId="0" applyFont="0" applyFill="0" applyBorder="0" applyAlignment="0" applyProtection="0"/>
    <xf numFmtId="9" fontId="16" fillId="0" borderId="0" applyFont="0" applyFill="0" applyBorder="0" applyAlignment="0" applyProtection="0"/>
    <xf numFmtId="0" fontId="51" fillId="0" borderId="0" applyNumberFormat="0" applyFill="0" applyBorder="0" applyAlignment="0" applyProtection="0"/>
    <xf numFmtId="0" fontId="61" fillId="0" borderId="0"/>
    <xf numFmtId="43" fontId="16" fillId="0" borderId="0" applyFont="0" applyFill="0" applyBorder="0" applyAlignment="0" applyProtection="0"/>
    <xf numFmtId="0" fontId="114" fillId="0" borderId="0"/>
    <xf numFmtId="0" fontId="125" fillId="3" borderId="0" applyNumberFormat="0" applyAlignment="0" applyProtection="0"/>
    <xf numFmtId="0" fontId="120" fillId="0" borderId="64" applyNumberFormat="0" applyFill="0" applyAlignment="0" applyProtection="0"/>
    <xf numFmtId="0" fontId="23" fillId="0" borderId="0" applyNumberFormat="0" applyFill="0" applyBorder="0" applyAlignment="0" applyProtection="0"/>
    <xf numFmtId="0" fontId="124" fillId="0" borderId="0" applyNumberFormat="0" applyFill="0" applyBorder="0" applyAlignment="0" applyProtection="0"/>
    <xf numFmtId="0" fontId="105" fillId="0" borderId="0" applyNumberFormat="0" applyFill="0" applyAlignment="0" applyProtection="0"/>
    <xf numFmtId="44"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3" fontId="16" fillId="0" borderId="0" applyFont="0" applyFill="0" applyBorder="0" applyAlignment="0" applyProtection="0"/>
  </cellStyleXfs>
  <cellXfs count="910">
    <xf numFmtId="0" fontId="0" fillId="3" borderId="0" xfId="0">
      <alignment horizontal="left" indent="1"/>
    </xf>
    <xf numFmtId="0" fontId="17" fillId="2" borderId="0" xfId="0" applyFont="1" applyFill="1" applyAlignment="1">
      <alignment vertical="center"/>
    </xf>
    <xf numFmtId="0" fontId="18" fillId="3" borderId="0" xfId="0" applyFont="1" applyAlignment="1">
      <alignment vertical="center"/>
    </xf>
    <xf numFmtId="0" fontId="26" fillId="3" borderId="0" xfId="0" applyFont="1">
      <alignment horizontal="left" indent="1"/>
    </xf>
    <xf numFmtId="0" fontId="15" fillId="3" borderId="0" xfId="0" applyFont="1">
      <alignment horizontal="left" indent="1"/>
    </xf>
    <xf numFmtId="9" fontId="27" fillId="3" borderId="4" xfId="0" applyNumberFormat="1" applyFont="1" applyBorder="1" applyAlignment="1">
      <alignment horizontal="center"/>
    </xf>
    <xf numFmtId="165" fontId="27" fillId="3" borderId="4" xfId="1" applyNumberFormat="1" applyFont="1" applyFill="1" applyBorder="1" applyAlignment="1">
      <alignment horizontal="center"/>
    </xf>
    <xf numFmtId="0" fontId="39" fillId="3" borderId="0" xfId="0" applyFont="1" applyAlignment="1">
      <alignment vertical="center"/>
    </xf>
    <xf numFmtId="165" fontId="15" fillId="3" borderId="0" xfId="1" applyNumberFormat="1" applyFont="1" applyFill="1"/>
    <xf numFmtId="9" fontId="15" fillId="3" borderId="0" xfId="2" applyFont="1" applyFill="1"/>
    <xf numFmtId="0" fontId="13" fillId="3" borderId="0" xfId="0" applyFont="1" applyAlignment="1">
      <alignment vertical="center"/>
    </xf>
    <xf numFmtId="0" fontId="13" fillId="6" borderId="0" xfId="0" applyFont="1" applyFill="1" applyAlignment="1">
      <alignment vertical="center"/>
    </xf>
    <xf numFmtId="0" fontId="40" fillId="3" borderId="0" xfId="0" applyFont="1" applyAlignment="1">
      <alignment vertical="center" wrapText="1"/>
    </xf>
    <xf numFmtId="0" fontId="13" fillId="3" borderId="10" xfId="0" applyFont="1" applyBorder="1" applyAlignment="1">
      <alignment vertical="center"/>
    </xf>
    <xf numFmtId="171" fontId="40" fillId="3" borderId="9" xfId="0" applyNumberFormat="1" applyFont="1" applyBorder="1" applyAlignment="1">
      <alignment vertical="top"/>
    </xf>
    <xf numFmtId="0" fontId="13" fillId="3" borderId="13" xfId="0" applyFont="1" applyBorder="1" applyAlignment="1">
      <alignment vertical="center"/>
    </xf>
    <xf numFmtId="0" fontId="13" fillId="3" borderId="8" xfId="0" applyFont="1" applyBorder="1" applyAlignment="1">
      <alignment vertical="center"/>
    </xf>
    <xf numFmtId="0" fontId="41" fillId="3" borderId="0" xfId="0" applyFont="1" applyAlignment="1">
      <alignment vertical="center" wrapText="1"/>
    </xf>
    <xf numFmtId="166" fontId="40" fillId="3" borderId="0" xfId="0" applyNumberFormat="1" applyFont="1" applyAlignment="1">
      <alignment horizontal="left" vertical="center" wrapText="1"/>
    </xf>
    <xf numFmtId="0" fontId="40" fillId="7" borderId="0" xfId="0" applyFont="1" applyFill="1" applyAlignment="1">
      <alignment vertical="top" wrapText="1"/>
    </xf>
    <xf numFmtId="49" fontId="40" fillId="7" borderId="0" xfId="0" applyNumberFormat="1" applyFont="1" applyFill="1" applyAlignment="1">
      <alignment vertical="top" wrapText="1"/>
    </xf>
    <xf numFmtId="166" fontId="40" fillId="7" borderId="0" xfId="1" applyNumberFormat="1" applyFont="1" applyFill="1" applyAlignment="1">
      <alignment horizontal="left" vertical="top" wrapText="1"/>
    </xf>
    <xf numFmtId="166" fontId="40" fillId="7" borderId="0" xfId="0" applyNumberFormat="1" applyFont="1" applyFill="1" applyAlignment="1">
      <alignment horizontal="left" vertical="top" wrapText="1"/>
    </xf>
    <xf numFmtId="0" fontId="20" fillId="3" borderId="0" xfId="0" applyFont="1" applyAlignment="1">
      <alignment vertical="center"/>
    </xf>
    <xf numFmtId="0" fontId="20" fillId="3" borderId="0" xfId="0" applyFont="1" applyAlignment="1">
      <alignment horizontal="right" vertical="center"/>
    </xf>
    <xf numFmtId="0" fontId="21" fillId="3" borderId="0" xfId="0" applyFont="1" applyAlignment="1">
      <alignment horizontal="left" vertical="center"/>
    </xf>
    <xf numFmtId="0" fontId="27" fillId="3" borderId="0" xfId="0" applyFont="1" applyAlignment="1">
      <alignment vertical="center"/>
    </xf>
    <xf numFmtId="169" fontId="27" fillId="3" borderId="0" xfId="0" applyNumberFormat="1" applyFont="1" applyAlignment="1">
      <alignment vertical="center"/>
    </xf>
    <xf numFmtId="0" fontId="67" fillId="3" borderId="0" xfId="0" applyFont="1" applyAlignment="1">
      <alignment horizontal="center" vertical="center"/>
    </xf>
    <xf numFmtId="0" fontId="27" fillId="3" borderId="0" xfId="0" applyFont="1" applyAlignment="1">
      <alignment horizontal="justify" vertical="center"/>
    </xf>
    <xf numFmtId="0" fontId="58" fillId="3" borderId="0" xfId="0" applyFont="1" applyAlignment="1">
      <alignment horizontal="justify" vertical="center"/>
    </xf>
    <xf numFmtId="0" fontId="59" fillId="3" borderId="0" xfId="0" applyFont="1" applyAlignment="1">
      <alignment horizontal="justify" vertical="center"/>
    </xf>
    <xf numFmtId="0" fontId="17" fillId="3" borderId="9" xfId="0" applyFont="1" applyBorder="1" applyAlignment="1">
      <alignment vertical="center"/>
    </xf>
    <xf numFmtId="0" fontId="62" fillId="3" borderId="9" xfId="0" applyFont="1" applyBorder="1" applyAlignment="1">
      <alignment vertical="center"/>
    </xf>
    <xf numFmtId="0" fontId="64" fillId="3" borderId="0" xfId="0" applyFont="1" applyAlignment="1">
      <alignment horizontal="center" vertical="center" wrapText="1"/>
    </xf>
    <xf numFmtId="0" fontId="64" fillId="3" borderId="10" xfId="0" applyFont="1" applyBorder="1" applyAlignment="1">
      <alignment horizontal="center" vertical="center" wrapText="1"/>
    </xf>
    <xf numFmtId="14" fontId="40" fillId="7" borderId="0" xfId="0" applyNumberFormat="1" applyFont="1" applyFill="1" applyAlignment="1">
      <alignment horizontal="center" vertical="top" wrapText="1"/>
    </xf>
    <xf numFmtId="49" fontId="40" fillId="3" borderId="0" xfId="0" applyNumberFormat="1" applyFont="1" applyAlignment="1">
      <alignment vertical="center" wrapText="1"/>
    </xf>
    <xf numFmtId="0" fontId="73" fillId="3" borderId="0" xfId="0" applyFont="1">
      <alignment horizontal="left" indent="1"/>
    </xf>
    <xf numFmtId="1" fontId="40" fillId="0" borderId="0" xfId="2" applyNumberFormat="1" applyFont="1" applyAlignment="1">
      <alignment horizontal="left" vertical="center" wrapText="1"/>
    </xf>
    <xf numFmtId="0" fontId="13" fillId="6" borderId="49" xfId="0" applyFont="1" applyFill="1" applyBorder="1" applyAlignment="1">
      <alignment vertical="center"/>
    </xf>
    <xf numFmtId="0" fontId="13" fillId="13" borderId="49" xfId="0" applyFont="1" applyFill="1" applyBorder="1" applyAlignment="1">
      <alignment vertical="center"/>
    </xf>
    <xf numFmtId="0" fontId="13" fillId="13" borderId="0" xfId="0" applyFont="1" applyFill="1" applyAlignment="1">
      <alignment vertical="center"/>
    </xf>
    <xf numFmtId="0" fontId="42" fillId="13" borderId="49" xfId="0" applyFont="1" applyFill="1" applyBorder="1" applyAlignment="1">
      <alignment vertical="center"/>
    </xf>
    <xf numFmtId="0" fontId="48" fillId="13" borderId="0" xfId="0" applyFont="1" applyFill="1" applyAlignment="1">
      <alignment vertical="center" wrapText="1"/>
    </xf>
    <xf numFmtId="0" fontId="46" fillId="13" borderId="49" xfId="0" applyFont="1" applyFill="1" applyBorder="1" applyAlignment="1">
      <alignment wrapText="1"/>
    </xf>
    <xf numFmtId="0" fontId="46" fillId="13" borderId="0" xfId="0" applyFont="1" applyFill="1" applyAlignment="1">
      <alignment wrapText="1"/>
    </xf>
    <xf numFmtId="0" fontId="46" fillId="13" borderId="49" xfId="0" applyFont="1" applyFill="1" applyBorder="1" applyAlignment="1">
      <alignment vertical="center"/>
    </xf>
    <xf numFmtId="0" fontId="46" fillId="13" borderId="0" xfId="0" applyFont="1" applyFill="1" applyAlignment="1">
      <alignment vertical="center"/>
    </xf>
    <xf numFmtId="0" fontId="20" fillId="13" borderId="49" xfId="0" applyFont="1" applyFill="1" applyBorder="1" applyAlignment="1">
      <alignment vertical="center"/>
    </xf>
    <xf numFmtId="0" fontId="20" fillId="13" borderId="0" xfId="0" applyFont="1" applyFill="1" applyAlignment="1">
      <alignment vertical="center"/>
    </xf>
    <xf numFmtId="0" fontId="40" fillId="2" borderId="0" xfId="0" applyFont="1" applyFill="1" applyAlignment="1">
      <alignment vertical="center" wrapText="1"/>
    </xf>
    <xf numFmtId="0" fontId="74" fillId="2" borderId="0" xfId="0" applyFont="1" applyFill="1" applyAlignment="1">
      <alignment vertical="center"/>
    </xf>
    <xf numFmtId="0" fontId="38" fillId="3" borderId="0" xfId="0" applyFont="1" applyAlignment="1">
      <alignment vertical="center"/>
    </xf>
    <xf numFmtId="0" fontId="13" fillId="2" borderId="0" xfId="0" applyFont="1" applyFill="1" applyAlignment="1">
      <alignment vertical="center"/>
    </xf>
    <xf numFmtId="0" fontId="20" fillId="2" borderId="0" xfId="0" applyFont="1" applyFill="1" applyAlignment="1">
      <alignment vertical="center"/>
    </xf>
    <xf numFmtId="0" fontId="64" fillId="3" borderId="0" xfId="0" applyFont="1" applyAlignment="1">
      <alignment horizontal="left" vertical="center"/>
    </xf>
    <xf numFmtId="0" fontId="77" fillId="3" borderId="0" xfId="0" applyFont="1" applyAlignment="1">
      <alignment horizontal="left" vertical="center"/>
    </xf>
    <xf numFmtId="0" fontId="18" fillId="3" borderId="0" xfId="0" applyFont="1" applyAlignment="1">
      <alignment horizontal="center" vertical="center"/>
    </xf>
    <xf numFmtId="0" fontId="27" fillId="3" borderId="0" xfId="0" applyFont="1" applyAlignment="1">
      <alignment horizontal="center" vertical="center"/>
    </xf>
    <xf numFmtId="0" fontId="85" fillId="3" borderId="0" xfId="0" applyFont="1" applyAlignment="1">
      <alignment horizontal="center" vertical="center"/>
    </xf>
    <xf numFmtId="0" fontId="87" fillId="3" borderId="0" xfId="0" applyFont="1" applyAlignment="1">
      <alignment horizontal="center" vertical="center"/>
    </xf>
    <xf numFmtId="0" fontId="89" fillId="3" borderId="0" xfId="0" applyFont="1" applyAlignment="1">
      <alignment horizontal="left" vertical="center"/>
    </xf>
    <xf numFmtId="14" fontId="20" fillId="15" borderId="0" xfId="0" applyNumberFormat="1" applyFont="1" applyFill="1" applyAlignment="1">
      <alignment horizontal="center" vertical="center"/>
    </xf>
    <xf numFmtId="0" fontId="76" fillId="13" borderId="0" xfId="0" applyFont="1" applyFill="1" applyAlignment="1">
      <alignment vertical="center" wrapText="1"/>
    </xf>
    <xf numFmtId="0" fontId="76" fillId="13" borderId="49" xfId="0" applyFont="1" applyFill="1" applyBorder="1" applyAlignment="1">
      <alignment vertical="center" wrapText="1"/>
    </xf>
    <xf numFmtId="0" fontId="18" fillId="13" borderId="0" xfId="0" applyFont="1" applyFill="1" applyAlignment="1">
      <alignment vertical="center"/>
    </xf>
    <xf numFmtId="0" fontId="75" fillId="13" borderId="0" xfId="0" applyFont="1" applyFill="1" applyAlignment="1">
      <alignment horizontal="center" vertical="center"/>
    </xf>
    <xf numFmtId="0" fontId="83" fillId="13" borderId="0" xfId="0" applyFont="1" applyFill="1" applyAlignment="1">
      <alignment vertical="center"/>
    </xf>
    <xf numFmtId="0" fontId="18" fillId="2" borderId="0" xfId="0" applyFont="1" applyFill="1" applyAlignment="1">
      <alignment vertical="center"/>
    </xf>
    <xf numFmtId="0" fontId="20" fillId="13" borderId="0" xfId="0" applyFont="1" applyFill="1" applyAlignment="1">
      <alignment horizontal="left" vertical="top" wrapText="1"/>
    </xf>
    <xf numFmtId="0" fontId="85" fillId="3" borderId="0" xfId="0" applyFont="1" applyAlignment="1">
      <alignment horizontal="right" vertical="top" indent="3"/>
    </xf>
    <xf numFmtId="0" fontId="22" fillId="13" borderId="0" xfId="0" applyFont="1" applyFill="1" applyAlignment="1">
      <alignment vertical="top" wrapText="1"/>
    </xf>
    <xf numFmtId="0" fontId="10" fillId="13" borderId="0" xfId="0" applyFont="1" applyFill="1" applyAlignment="1">
      <alignment vertical="center"/>
    </xf>
    <xf numFmtId="0" fontId="10" fillId="13" borderId="0" xfId="0" applyFont="1" applyFill="1" applyAlignment="1">
      <alignment horizontal="left" vertical="top" wrapText="1"/>
    </xf>
    <xf numFmtId="0" fontId="10" fillId="13" borderId="0" xfId="0" applyFont="1" applyFill="1" applyAlignment="1">
      <alignment vertical="center" wrapText="1"/>
    </xf>
    <xf numFmtId="0" fontId="22" fillId="13" borderId="0" xfId="0" applyFont="1" applyFill="1" applyAlignment="1">
      <alignment vertical="center"/>
    </xf>
    <xf numFmtId="0" fontId="72" fillId="13" borderId="49" xfId="0" applyFont="1" applyFill="1" applyBorder="1" applyAlignment="1">
      <alignment vertical="center"/>
    </xf>
    <xf numFmtId="0" fontId="46" fillId="13" borderId="49" xfId="0" quotePrefix="1" applyFont="1" applyFill="1" applyBorder="1" applyAlignment="1">
      <alignment vertical="center"/>
    </xf>
    <xf numFmtId="0" fontId="27" fillId="13" borderId="0" xfId="0" applyFont="1" applyFill="1" applyAlignment="1">
      <alignment vertical="center"/>
    </xf>
    <xf numFmtId="0" fontId="9" fillId="13" borderId="0" xfId="0" applyFont="1" applyFill="1" applyAlignment="1">
      <alignment vertical="center"/>
    </xf>
    <xf numFmtId="0" fontId="52" fillId="13" borderId="49" xfId="0" applyFont="1" applyFill="1" applyBorder="1" applyAlignment="1">
      <alignment vertical="center"/>
    </xf>
    <xf numFmtId="0" fontId="30" fillId="13" borderId="0" xfId="0" applyFont="1" applyFill="1" applyAlignment="1">
      <alignment vertical="center" wrapText="1"/>
    </xf>
    <xf numFmtId="0" fontId="18" fillId="3" borderId="0" xfId="0" applyFont="1" applyAlignment="1">
      <alignment horizontal="right" vertical="center" indent="3"/>
    </xf>
    <xf numFmtId="0" fontId="85" fillId="3" borderId="0" xfId="0" applyFont="1" applyAlignment="1">
      <alignment horizontal="right" vertical="center" indent="3"/>
    </xf>
    <xf numFmtId="0" fontId="87" fillId="3" borderId="0" xfId="0" applyFont="1" applyAlignment="1">
      <alignment horizontal="right" vertical="center" indent="3"/>
    </xf>
    <xf numFmtId="0" fontId="76" fillId="3" borderId="0" xfId="0" applyFont="1" applyAlignment="1">
      <alignment vertical="center"/>
    </xf>
    <xf numFmtId="0" fontId="13" fillId="3" borderId="0" xfId="0" applyFont="1" applyAlignment="1">
      <alignment horizontal="right" vertical="center" indent="3"/>
    </xf>
    <xf numFmtId="170" fontId="41" fillId="3" borderId="0" xfId="0" applyNumberFormat="1" applyFont="1" applyAlignment="1">
      <alignment horizontal="right" vertical="center" wrapText="1" indent="3"/>
    </xf>
    <xf numFmtId="0" fontId="24" fillId="13" borderId="0" xfId="0" applyFont="1" applyFill="1" applyAlignment="1">
      <alignment horizontal="left" vertical="top" wrapText="1"/>
    </xf>
    <xf numFmtId="0" fontId="20" fillId="2" borderId="49" xfId="0" applyFont="1" applyFill="1" applyBorder="1" applyAlignment="1">
      <alignment vertical="center"/>
    </xf>
    <xf numFmtId="0" fontId="8" fillId="3" borderId="0" xfId="0" applyFont="1" applyAlignment="1">
      <alignment vertical="center"/>
    </xf>
    <xf numFmtId="0" fontId="107" fillId="3" borderId="0" xfId="0" applyFont="1" applyAlignment="1">
      <alignment horizontal="center" vertical="center"/>
    </xf>
    <xf numFmtId="0" fontId="107" fillId="3" borderId="0" xfId="0" applyFont="1" applyAlignment="1">
      <alignment horizontal="left" vertical="center"/>
    </xf>
    <xf numFmtId="0" fontId="109" fillId="3" borderId="0" xfId="0" applyFont="1" applyAlignment="1">
      <alignment vertical="center"/>
    </xf>
    <xf numFmtId="0" fontId="110" fillId="3" borderId="0" xfId="0" applyFont="1" applyAlignment="1">
      <alignment vertical="center"/>
    </xf>
    <xf numFmtId="0" fontId="8" fillId="3" borderId="0" xfId="0" applyFont="1" applyAlignment="1">
      <alignment vertical="top" wrapText="1"/>
    </xf>
    <xf numFmtId="0" fontId="20" fillId="3" borderId="0" xfId="0" applyFont="1" applyAlignment="1">
      <alignment horizontal="left" vertical="center" indent="1"/>
    </xf>
    <xf numFmtId="0" fontId="10" fillId="3" borderId="0" xfId="0" applyFont="1" applyAlignment="1">
      <alignment horizontal="left" vertical="center" indent="1"/>
    </xf>
    <xf numFmtId="0" fontId="10" fillId="12" borderId="59" xfId="0" applyFont="1" applyFill="1" applyBorder="1" applyAlignment="1">
      <alignment horizontal="left" vertical="center" indent="1"/>
    </xf>
    <xf numFmtId="0" fontId="20" fillId="12" borderId="59" xfId="0" applyFont="1" applyFill="1" applyBorder="1" applyAlignment="1">
      <alignment horizontal="left" vertical="center" indent="1"/>
    </xf>
    <xf numFmtId="3" fontId="10" fillId="12" borderId="59" xfId="0" applyNumberFormat="1" applyFont="1" applyFill="1" applyBorder="1" applyAlignment="1">
      <alignment horizontal="left" vertical="center" indent="1"/>
    </xf>
    <xf numFmtId="0" fontId="32" fillId="7" borderId="59" xfId="0" applyFont="1" applyFill="1" applyBorder="1" applyAlignment="1">
      <alignment horizontal="left" vertical="center" indent="1"/>
    </xf>
    <xf numFmtId="169" fontId="36" fillId="7" borderId="14" xfId="0" applyNumberFormat="1" applyFont="1" applyFill="1" applyBorder="1" applyAlignment="1" applyProtection="1">
      <alignment horizontal="left" vertical="center" indent="1"/>
      <protection locked="0"/>
    </xf>
    <xf numFmtId="0" fontId="36" fillId="7" borderId="14" xfId="0" applyFont="1" applyFill="1" applyBorder="1" applyAlignment="1" applyProtection="1">
      <alignment horizontal="left" vertical="center" wrapText="1" indent="1"/>
      <protection locked="0"/>
    </xf>
    <xf numFmtId="0" fontId="36" fillId="7" borderId="14" xfId="0" applyFont="1" applyFill="1" applyBorder="1" applyAlignment="1">
      <alignment horizontal="left" vertical="center" indent="1"/>
    </xf>
    <xf numFmtId="0" fontId="36" fillId="7" borderId="14" xfId="0" applyFont="1" applyFill="1" applyBorder="1" applyAlignment="1" applyProtection="1">
      <alignment horizontal="left" vertical="center" indent="1"/>
      <protection locked="0"/>
    </xf>
    <xf numFmtId="171" fontId="36" fillId="7" borderId="37" xfId="0" applyNumberFormat="1" applyFont="1" applyFill="1" applyBorder="1" applyAlignment="1">
      <alignment horizontal="left" vertical="center" wrapText="1" indent="1"/>
    </xf>
    <xf numFmtId="0" fontId="36" fillId="7" borderId="37" xfId="0" applyFont="1" applyFill="1" applyBorder="1" applyAlignment="1">
      <alignment horizontal="left" vertical="center" indent="1"/>
    </xf>
    <xf numFmtId="170" fontId="36" fillId="7" borderId="37" xfId="0" applyNumberFormat="1" applyFont="1" applyFill="1" applyBorder="1" applyAlignment="1">
      <alignment horizontal="left" vertical="center" wrapText="1" indent="1"/>
    </xf>
    <xf numFmtId="0" fontId="53" fillId="7" borderId="37" xfId="0" applyFont="1" applyFill="1" applyBorder="1" applyAlignment="1">
      <alignment horizontal="left" vertical="center" wrapText="1" indent="1"/>
    </xf>
    <xf numFmtId="0" fontId="36" fillId="7" borderId="37" xfId="0" applyFont="1" applyFill="1" applyBorder="1" applyAlignment="1">
      <alignment horizontal="left" vertical="center" wrapText="1" indent="1"/>
    </xf>
    <xf numFmtId="9" fontId="36" fillId="7" borderId="37" xfId="2" applyFont="1" applyFill="1" applyBorder="1" applyAlignment="1">
      <alignment horizontal="left" vertical="center" wrapText="1" indent="1"/>
    </xf>
    <xf numFmtId="166" fontId="36" fillId="7" borderId="37" xfId="0" applyNumberFormat="1" applyFont="1" applyFill="1" applyBorder="1" applyAlignment="1">
      <alignment horizontal="left" vertical="center" wrapText="1" indent="1"/>
    </xf>
    <xf numFmtId="166" fontId="53" fillId="7" borderId="14" xfId="1" applyNumberFormat="1" applyFont="1" applyFill="1" applyBorder="1" applyAlignment="1">
      <alignment horizontal="left" vertical="center" wrapText="1" indent="1"/>
    </xf>
    <xf numFmtId="166" fontId="36" fillId="7" borderId="14" xfId="1" applyNumberFormat="1" applyFont="1" applyFill="1" applyBorder="1" applyAlignment="1">
      <alignment horizontal="left" vertical="center" wrapText="1" indent="1"/>
    </xf>
    <xf numFmtId="166" fontId="21" fillId="12" borderId="14" xfId="0" applyNumberFormat="1" applyFont="1" applyFill="1" applyBorder="1" applyAlignment="1">
      <alignment horizontal="left" vertical="center" indent="1"/>
    </xf>
    <xf numFmtId="0" fontId="36" fillId="7" borderId="14" xfId="0" applyFont="1" applyFill="1" applyBorder="1" applyAlignment="1">
      <alignment horizontal="left" vertical="center" wrapText="1" indent="1"/>
    </xf>
    <xf numFmtId="169" fontId="36" fillId="7" borderId="37" xfId="0" applyNumberFormat="1" applyFont="1" applyFill="1" applyBorder="1" applyAlignment="1">
      <alignment horizontal="left" vertical="center" wrapText="1" indent="1"/>
    </xf>
    <xf numFmtId="14" fontId="36" fillId="7" borderId="21" xfId="0" applyNumberFormat="1" applyFont="1" applyFill="1" applyBorder="1" applyAlignment="1">
      <alignment horizontal="left" vertical="center" wrapText="1" indent="1"/>
    </xf>
    <xf numFmtId="14" fontId="36" fillId="7" borderId="23" xfId="0" applyNumberFormat="1" applyFont="1" applyFill="1" applyBorder="1" applyAlignment="1">
      <alignment horizontal="left" vertical="center" wrapText="1" indent="1"/>
    </xf>
    <xf numFmtId="0" fontId="36" fillId="3" borderId="17" xfId="0" applyFont="1" applyBorder="1" applyAlignment="1">
      <alignment horizontal="left" vertical="center" wrapText="1" indent="1"/>
    </xf>
    <xf numFmtId="0" fontId="36" fillId="3" borderId="32" xfId="0" applyFont="1" applyBorder="1" applyAlignment="1">
      <alignment horizontal="left" vertical="center" wrapText="1" indent="1"/>
    </xf>
    <xf numFmtId="0" fontId="36" fillId="3" borderId="15" xfId="0" applyFont="1" applyBorder="1" applyAlignment="1">
      <alignment horizontal="left" vertical="center" wrapText="1" indent="1"/>
    </xf>
    <xf numFmtId="0" fontId="36" fillId="3" borderId="41" xfId="0" applyFont="1" applyBorder="1" applyAlignment="1">
      <alignment horizontal="left" vertical="center" wrapText="1" indent="1"/>
    </xf>
    <xf numFmtId="0" fontId="7" fillId="3" borderId="0" xfId="0" applyFont="1" applyAlignment="1">
      <alignment vertical="center"/>
    </xf>
    <xf numFmtId="0" fontId="7" fillId="3" borderId="0" xfId="0" applyFont="1" applyAlignment="1">
      <alignment horizontal="left" vertical="center" indent="1"/>
    </xf>
    <xf numFmtId="174" fontId="7" fillId="12" borderId="59" xfId="0" applyNumberFormat="1" applyFont="1" applyFill="1" applyBorder="1" applyAlignment="1">
      <alignment horizontal="left" vertical="center" indent="1"/>
    </xf>
    <xf numFmtId="0" fontId="82" fillId="3" borderId="0" xfId="0" applyFont="1" applyAlignment="1">
      <alignment horizontal="left" vertical="center" indent="1"/>
    </xf>
    <xf numFmtId="14" fontId="7" fillId="11" borderId="59" xfId="0" applyNumberFormat="1" applyFont="1" applyFill="1" applyBorder="1" applyAlignment="1">
      <alignment horizontal="left" vertical="center" indent="1"/>
    </xf>
    <xf numFmtId="0" fontId="7" fillId="3" borderId="0" xfId="0" quotePrefix="1" applyFont="1" applyAlignment="1">
      <alignment horizontal="left" vertical="center" indent="1"/>
    </xf>
    <xf numFmtId="14" fontId="76" fillId="11" borderId="59" xfId="0" applyNumberFormat="1" applyFont="1" applyFill="1" applyBorder="1" applyAlignment="1">
      <alignment horizontal="left" vertical="center" indent="1"/>
    </xf>
    <xf numFmtId="0" fontId="6" fillId="12" borderId="59" xfId="0" applyFont="1" applyFill="1" applyBorder="1" applyAlignment="1">
      <alignment horizontal="left" vertical="center" indent="1"/>
    </xf>
    <xf numFmtId="0" fontId="53" fillId="3" borderId="0" xfId="0" applyFont="1" applyAlignment="1">
      <alignment horizontal="left" vertical="center" indent="1"/>
    </xf>
    <xf numFmtId="0" fontId="106" fillId="3" borderId="0" xfId="0" applyFont="1" applyAlignment="1">
      <alignment horizontal="left" vertical="center" indent="1"/>
    </xf>
    <xf numFmtId="0" fontId="101" fillId="13" borderId="49" xfId="0" applyFont="1" applyFill="1" applyBorder="1">
      <alignment horizontal="left" indent="1"/>
    </xf>
    <xf numFmtId="0" fontId="102" fillId="13" borderId="49" xfId="0" applyFont="1" applyFill="1" applyBorder="1" applyAlignment="1">
      <alignment horizontal="left" vertical="center" indent="1"/>
    </xf>
    <xf numFmtId="0" fontId="52" fillId="13" borderId="49" xfId="0" applyFont="1" applyFill="1" applyBorder="1" applyAlignment="1">
      <alignment horizontal="left" vertical="center" indent="1"/>
    </xf>
    <xf numFmtId="0" fontId="46" fillId="13" borderId="49" xfId="0" applyFont="1" applyFill="1" applyBorder="1" applyAlignment="1">
      <alignment horizontal="left" vertical="center" indent="1"/>
    </xf>
    <xf numFmtId="0" fontId="46" fillId="13" borderId="0" xfId="0" applyFont="1" applyFill="1" applyAlignment="1">
      <alignment horizontal="left" vertical="center" indent="1"/>
    </xf>
    <xf numFmtId="0" fontId="46" fillId="13" borderId="49" xfId="0" applyFont="1" applyFill="1" applyBorder="1" applyAlignment="1">
      <alignment horizontal="left" vertical="top" indent="1"/>
    </xf>
    <xf numFmtId="0" fontId="46" fillId="13" borderId="0" xfId="0" applyFont="1" applyFill="1" applyAlignment="1">
      <alignment horizontal="left" vertical="top" indent="1"/>
    </xf>
    <xf numFmtId="0" fontId="22" fillId="8" borderId="54" xfId="0" applyFont="1" applyFill="1" applyBorder="1" applyAlignment="1">
      <alignment horizontal="left" vertical="center" indent="1"/>
    </xf>
    <xf numFmtId="0" fontId="22" fillId="12" borderId="54" xfId="0" applyFont="1" applyFill="1" applyBorder="1" applyAlignment="1">
      <alignment horizontal="left" vertical="center" indent="1"/>
    </xf>
    <xf numFmtId="164" fontId="94" fillId="2" borderId="49" xfId="0" applyNumberFormat="1" applyFont="1" applyFill="1" applyBorder="1" applyAlignment="1">
      <alignment horizontal="left" vertical="center" indent="1"/>
    </xf>
    <xf numFmtId="0" fontId="116" fillId="13" borderId="0" xfId="0" applyFont="1" applyFill="1" applyAlignment="1">
      <alignment horizontal="left" vertical="top" wrapText="1"/>
    </xf>
    <xf numFmtId="0" fontId="116" fillId="13" borderId="0" xfId="0" applyFont="1" applyFill="1" applyAlignment="1">
      <alignment vertical="center"/>
    </xf>
    <xf numFmtId="0" fontId="116" fillId="13" borderId="0" xfId="0" applyFont="1" applyFill="1" applyAlignment="1">
      <alignment vertical="center" wrapText="1"/>
    </xf>
    <xf numFmtId="0" fontId="40" fillId="3" borderId="0" xfId="0" applyFont="1" applyAlignment="1">
      <alignment horizontal="left" vertical="top" wrapText="1" indent="1"/>
    </xf>
    <xf numFmtId="0" fontId="13" fillId="3" borderId="0" xfId="0" applyFont="1" applyAlignment="1">
      <alignment horizontal="left" vertical="center" indent="1"/>
    </xf>
    <xf numFmtId="0" fontId="13" fillId="3" borderId="10" xfId="0" applyFont="1" applyBorder="1" applyAlignment="1">
      <alignment horizontal="left" vertical="center" indent="1"/>
    </xf>
    <xf numFmtId="14" fontId="40" fillId="3" borderId="13" xfId="0" applyNumberFormat="1" applyFont="1" applyBorder="1" applyAlignment="1">
      <alignment horizontal="left" vertical="center" wrapText="1" indent="1"/>
    </xf>
    <xf numFmtId="0" fontId="13" fillId="3" borderId="13" xfId="0" applyFont="1" applyBorder="1" applyAlignment="1">
      <alignment horizontal="left" vertical="center" indent="1"/>
    </xf>
    <xf numFmtId="0" fontId="13" fillId="3" borderId="8" xfId="0" applyFont="1" applyBorder="1" applyAlignment="1">
      <alignment horizontal="left" vertical="center" indent="1"/>
    </xf>
    <xf numFmtId="0" fontId="119" fillId="3" borderId="0" xfId="0" applyFont="1" applyAlignment="1">
      <alignment wrapText="1"/>
    </xf>
    <xf numFmtId="0" fontId="118" fillId="0" borderId="0" xfId="4" applyFont="1" applyAlignment="1">
      <alignment wrapText="1"/>
    </xf>
    <xf numFmtId="0" fontId="118" fillId="0" borderId="0" xfId="4" applyFont="1" applyAlignment="1">
      <alignment horizontal="left" wrapText="1"/>
    </xf>
    <xf numFmtId="0" fontId="60" fillId="0" borderId="0" xfId="4" applyFont="1" applyAlignment="1">
      <alignment horizontal="left" wrapText="1" indent="1"/>
    </xf>
    <xf numFmtId="0" fontId="36" fillId="7" borderId="21" xfId="0" applyFont="1" applyFill="1" applyBorder="1" applyAlignment="1">
      <alignment horizontal="left" vertical="center" wrapText="1" indent="1"/>
    </xf>
    <xf numFmtId="0" fontId="27" fillId="3" borderId="0" xfId="0" applyFont="1">
      <alignment horizontal="left" indent="1"/>
    </xf>
    <xf numFmtId="0" fontId="125" fillId="3" borderId="0" xfId="7" applyAlignment="1">
      <alignment vertical="center"/>
    </xf>
    <xf numFmtId="0" fontId="125" fillId="3" borderId="0" xfId="7" applyAlignment="1">
      <alignment horizontal="left" indent="1"/>
    </xf>
    <xf numFmtId="0" fontId="125" fillId="3" borderId="0" xfId="7" applyAlignment="1">
      <alignment horizontal="justify" vertical="center"/>
    </xf>
    <xf numFmtId="169" fontId="125" fillId="3" borderId="0" xfId="7" applyNumberFormat="1" applyAlignment="1">
      <alignment vertical="center"/>
    </xf>
    <xf numFmtId="0" fontId="27" fillId="3" borderId="0" xfId="0" applyFont="1" applyAlignment="1">
      <alignment horizontal="left" vertical="center" indent="1"/>
    </xf>
    <xf numFmtId="169" fontId="27" fillId="3" borderId="0" xfId="0" applyNumberFormat="1" applyFont="1" applyAlignment="1">
      <alignment horizontal="left" vertical="center" indent="1"/>
    </xf>
    <xf numFmtId="0" fontId="27" fillId="17" borderId="0" xfId="0" applyFont="1" applyFill="1" applyAlignment="1">
      <alignment vertical="center"/>
    </xf>
    <xf numFmtId="0" fontId="121" fillId="17" borderId="0" xfId="0" applyFont="1" applyFill="1">
      <alignment horizontal="left" indent="1"/>
    </xf>
    <xf numFmtId="0" fontId="67" fillId="3" borderId="0" xfId="0" applyFont="1" applyAlignment="1">
      <alignment horizontal="left" vertical="center" indent="1"/>
    </xf>
    <xf numFmtId="0" fontId="27" fillId="3" borderId="0" xfId="0" applyFont="1" applyAlignment="1">
      <alignment horizontal="right" indent="1"/>
    </xf>
    <xf numFmtId="0" fontId="40" fillId="3" borderId="0" xfId="0" applyFont="1">
      <alignment horizontal="left" indent="1"/>
    </xf>
    <xf numFmtId="0" fontId="40" fillId="3" borderId="0" xfId="0" applyFont="1" applyAlignment="1">
      <alignment horizontal="right" indent="1"/>
    </xf>
    <xf numFmtId="14" fontId="40" fillId="3" borderId="0" xfId="0" applyNumberFormat="1" applyFont="1" applyAlignment="1">
      <alignment horizontal="right" indent="1"/>
    </xf>
    <xf numFmtId="1" fontId="40" fillId="3" borderId="0" xfId="0" applyNumberFormat="1" applyFont="1" applyAlignment="1">
      <alignment horizontal="right" indent="1"/>
    </xf>
    <xf numFmtId="169" fontId="40" fillId="3" borderId="0" xfId="0" applyNumberFormat="1" applyFont="1">
      <alignment horizontal="left" indent="1"/>
    </xf>
    <xf numFmtId="0" fontId="27" fillId="17" borderId="0" xfId="0" applyFont="1" applyFill="1" applyAlignment="1">
      <alignment horizontal="left" vertical="center" indent="1"/>
    </xf>
    <xf numFmtId="0" fontId="125" fillId="3" borderId="0" xfId="7" applyAlignment="1">
      <alignment horizontal="left" vertical="center" indent="1"/>
    </xf>
    <xf numFmtId="14" fontId="67" fillId="3" borderId="0" xfId="0" applyNumberFormat="1" applyFont="1" applyAlignment="1">
      <alignment horizontal="right" vertical="center" indent="1"/>
    </xf>
    <xf numFmtId="0" fontId="27" fillId="3" borderId="0" xfId="0" applyFont="1" applyAlignment="1">
      <alignment horizontal="left" vertical="center" indent="3"/>
    </xf>
    <xf numFmtId="0" fontId="67" fillId="3" borderId="0" xfId="0" applyFont="1" applyAlignment="1">
      <alignment horizontal="right" indent="1"/>
    </xf>
    <xf numFmtId="0" fontId="27" fillId="10" borderId="66" xfId="0" applyFont="1" applyFill="1" applyBorder="1" applyAlignment="1">
      <alignment horizontal="left" vertical="center" indent="1"/>
    </xf>
    <xf numFmtId="10" fontId="27" fillId="11" borderId="66" xfId="0" applyNumberFormat="1" applyFont="1" applyFill="1" applyBorder="1" applyAlignment="1">
      <alignment horizontal="right" indent="1"/>
    </xf>
    <xf numFmtId="0" fontId="27" fillId="11" borderId="66" xfId="0" applyFont="1" applyFill="1" applyBorder="1" applyAlignment="1">
      <alignment horizontal="right" indent="1"/>
    </xf>
    <xf numFmtId="172" fontId="27" fillId="11" borderId="66" xfId="5" applyNumberFormat="1" applyFont="1" applyFill="1" applyBorder="1" applyAlignment="1">
      <alignment horizontal="right" indent="1"/>
    </xf>
    <xf numFmtId="0" fontId="67" fillId="11" borderId="66" xfId="0" applyFont="1" applyFill="1" applyBorder="1" applyAlignment="1">
      <alignment horizontal="right" indent="1"/>
    </xf>
    <xf numFmtId="173" fontId="67" fillId="14" borderId="66" xfId="0" applyNumberFormat="1" applyFont="1" applyFill="1" applyBorder="1" applyAlignment="1">
      <alignment horizontal="right" indent="1"/>
    </xf>
    <xf numFmtId="14" fontId="67" fillId="7" borderId="66" xfId="0" applyNumberFormat="1" applyFont="1" applyFill="1" applyBorder="1" applyAlignment="1">
      <alignment horizontal="right" indent="1"/>
    </xf>
    <xf numFmtId="0" fontId="40" fillId="10" borderId="66" xfId="0" applyFont="1" applyFill="1" applyBorder="1" applyAlignment="1">
      <alignment horizontal="right" indent="1"/>
    </xf>
    <xf numFmtId="165" fontId="40" fillId="3" borderId="66" xfId="1" applyNumberFormat="1" applyFont="1" applyFill="1" applyBorder="1" applyAlignment="1">
      <alignment horizontal="right" indent="1"/>
    </xf>
    <xf numFmtId="165" fontId="41" fillId="3" borderId="66" xfId="1" applyNumberFormat="1" applyFont="1" applyFill="1" applyBorder="1" applyAlignment="1">
      <alignment horizontal="right" indent="1"/>
    </xf>
    <xf numFmtId="165" fontId="40" fillId="14" borderId="66" xfId="1" applyNumberFormat="1" applyFont="1" applyFill="1" applyBorder="1" applyAlignment="1">
      <alignment horizontal="right" indent="1"/>
    </xf>
    <xf numFmtId="14" fontId="40" fillId="10" borderId="66" xfId="0" applyNumberFormat="1" applyFont="1" applyFill="1" applyBorder="1" applyAlignment="1">
      <alignment horizontal="right" indent="1"/>
    </xf>
    <xf numFmtId="1" fontId="40" fillId="10" borderId="66" xfId="0" applyNumberFormat="1" applyFont="1" applyFill="1" applyBorder="1" applyAlignment="1">
      <alignment horizontal="right" indent="1"/>
    </xf>
    <xf numFmtId="165" fontId="40" fillId="3" borderId="0" xfId="1" applyNumberFormat="1" applyFont="1" applyFill="1" applyBorder="1" applyAlignment="1">
      <alignment horizontal="right" indent="1"/>
    </xf>
    <xf numFmtId="165" fontId="41" fillId="3" borderId="0" xfId="1" applyNumberFormat="1" applyFont="1" applyFill="1" applyBorder="1" applyAlignment="1">
      <alignment horizontal="right" indent="1"/>
    </xf>
    <xf numFmtId="165" fontId="40" fillId="3" borderId="0" xfId="1" applyNumberFormat="1" applyFont="1" applyFill="1" applyAlignment="1">
      <alignment horizontal="right" indent="1"/>
    </xf>
    <xf numFmtId="0" fontId="23" fillId="3" borderId="0" xfId="9" applyFill="1" applyAlignment="1">
      <alignment horizontal="left" wrapText="1" indent="1"/>
    </xf>
    <xf numFmtId="0" fontId="23" fillId="3" borderId="0" xfId="9" applyFill="1" applyAlignment="1">
      <alignment horizontal="left" indent="1"/>
    </xf>
    <xf numFmtId="2" fontId="40" fillId="10" borderId="66" xfId="0" applyNumberFormat="1" applyFont="1" applyFill="1" applyBorder="1" applyAlignment="1">
      <alignment horizontal="right" indent="1"/>
    </xf>
    <xf numFmtId="165" fontId="40" fillId="11" borderId="66" xfId="1" applyNumberFormat="1" applyFont="1" applyFill="1" applyBorder="1" applyAlignment="1">
      <alignment horizontal="right" indent="1"/>
    </xf>
    <xf numFmtId="0" fontId="23" fillId="3" borderId="0" xfId="9" applyFill="1" applyBorder="1" applyAlignment="1">
      <alignment horizontal="left" indent="1"/>
    </xf>
    <xf numFmtId="0" fontId="23" fillId="3" borderId="0" xfId="9" applyFill="1" applyBorder="1" applyAlignment="1">
      <alignment horizontal="left" wrapText="1" indent="1"/>
    </xf>
    <xf numFmtId="0" fontId="23" fillId="10" borderId="66" xfId="9" applyFill="1" applyBorder="1" applyAlignment="1">
      <alignment horizontal="right" indent="1"/>
    </xf>
    <xf numFmtId="0" fontId="23" fillId="3" borderId="0" xfId="9" applyFill="1" applyBorder="1" applyAlignment="1">
      <alignment horizontal="right" indent="1"/>
    </xf>
    <xf numFmtId="14" fontId="23" fillId="3" borderId="0" xfId="9" applyNumberFormat="1" applyFill="1" applyBorder="1" applyAlignment="1">
      <alignment horizontal="right" indent="1"/>
    </xf>
    <xf numFmtId="1" fontId="23" fillId="3" borderId="0" xfId="9" applyNumberFormat="1" applyFill="1" applyAlignment="1">
      <alignment horizontal="right" indent="1"/>
    </xf>
    <xf numFmtId="0" fontId="23" fillId="3" borderId="0" xfId="9" applyFill="1" applyAlignment="1">
      <alignment horizontal="right" indent="1"/>
    </xf>
    <xf numFmtId="14" fontId="23" fillId="3" borderId="0" xfId="9" applyNumberFormat="1" applyFill="1" applyAlignment="1">
      <alignment horizontal="right" indent="1"/>
    </xf>
    <xf numFmtId="0" fontId="120" fillId="18" borderId="73" xfId="8" applyFill="1" applyBorder="1" applyAlignment="1">
      <alignment horizontal="left" indent="1"/>
    </xf>
    <xf numFmtId="0" fontId="120" fillId="18" borderId="74" xfId="8" applyFill="1" applyBorder="1" applyAlignment="1">
      <alignment horizontal="left" vertical="center" indent="1"/>
    </xf>
    <xf numFmtId="0" fontId="27" fillId="19" borderId="75" xfId="0" applyFont="1" applyFill="1" applyBorder="1">
      <alignment horizontal="left" indent="1"/>
    </xf>
    <xf numFmtId="0" fontId="27" fillId="19" borderId="65" xfId="0" applyFont="1" applyFill="1" applyBorder="1" applyAlignment="1">
      <alignment horizontal="left" vertical="center" indent="1"/>
    </xf>
    <xf numFmtId="169" fontId="27" fillId="19" borderId="65" xfId="0" applyNumberFormat="1" applyFont="1" applyFill="1" applyBorder="1" applyAlignment="1">
      <alignment horizontal="left" vertical="center" indent="1"/>
    </xf>
    <xf numFmtId="0" fontId="27" fillId="3" borderId="73" xfId="0" applyFont="1" applyBorder="1">
      <alignment horizontal="left" indent="1"/>
    </xf>
    <xf numFmtId="0" fontId="27" fillId="3" borderId="74" xfId="0" applyFont="1" applyBorder="1" applyAlignment="1">
      <alignment horizontal="left" vertical="center" indent="1"/>
    </xf>
    <xf numFmtId="169" fontId="27" fillId="3" borderId="74" xfId="0" applyNumberFormat="1" applyFont="1" applyBorder="1" applyAlignment="1">
      <alignment horizontal="left" vertical="center" indent="1"/>
    </xf>
    <xf numFmtId="0" fontId="27" fillId="19" borderId="73" xfId="0" applyFont="1" applyFill="1" applyBorder="1">
      <alignment horizontal="left" indent="1"/>
    </xf>
    <xf numFmtId="0" fontId="27" fillId="19" borderId="74" xfId="0" applyFont="1" applyFill="1" applyBorder="1" applyAlignment="1">
      <alignment horizontal="left" vertical="center" indent="1"/>
    </xf>
    <xf numFmtId="169" fontId="27" fillId="19" borderId="74" xfId="0" applyNumberFormat="1" applyFont="1" applyFill="1" applyBorder="1" applyAlignment="1">
      <alignment horizontal="left" vertical="center" indent="1"/>
    </xf>
    <xf numFmtId="0" fontId="27" fillId="3" borderId="69" xfId="0" applyFont="1" applyBorder="1">
      <alignment horizontal="left" indent="1"/>
    </xf>
    <xf numFmtId="0" fontId="27" fillId="3" borderId="71" xfId="0" applyFont="1" applyBorder="1" applyAlignment="1">
      <alignment horizontal="left" vertical="center" indent="1"/>
    </xf>
    <xf numFmtId="169" fontId="27" fillId="3" borderId="71" xfId="0" applyNumberFormat="1" applyFont="1" applyBorder="1" applyAlignment="1">
      <alignment horizontal="left" vertical="center" indent="1"/>
    </xf>
    <xf numFmtId="0" fontId="21" fillId="4" borderId="14" xfId="0" applyFont="1" applyFill="1" applyBorder="1" applyAlignment="1">
      <alignment horizontal="left" vertical="center" wrapText="1" indent="1"/>
    </xf>
    <xf numFmtId="0" fontId="21" fillId="4" borderId="14" xfId="0" applyFont="1" applyFill="1" applyBorder="1" applyAlignment="1">
      <alignment horizontal="left" vertical="center" indent="1"/>
    </xf>
    <xf numFmtId="0" fontId="21" fillId="4" borderId="38" xfId="0" applyFont="1" applyFill="1" applyBorder="1" applyAlignment="1">
      <alignment horizontal="left" vertical="center" indent="1"/>
    </xf>
    <xf numFmtId="0" fontId="21" fillId="4" borderId="17" xfId="0" applyFont="1" applyFill="1" applyBorder="1" applyAlignment="1">
      <alignment horizontal="left" vertical="center" wrapText="1" indent="1"/>
    </xf>
    <xf numFmtId="0" fontId="18" fillId="4" borderId="18" xfId="0" applyFont="1" applyFill="1" applyBorder="1" applyAlignment="1">
      <alignment horizontal="left" vertical="center" indent="1"/>
    </xf>
    <xf numFmtId="0" fontId="21" fillId="4" borderId="9" xfId="0" applyFont="1" applyFill="1" applyBorder="1" applyAlignment="1">
      <alignment horizontal="left" vertical="center" indent="1"/>
    </xf>
    <xf numFmtId="0" fontId="21" fillId="4" borderId="0" xfId="0" applyFont="1" applyFill="1" applyAlignment="1">
      <alignment horizontal="left" vertical="center" wrapText="1" indent="1"/>
    </xf>
    <xf numFmtId="0" fontId="18" fillId="4" borderId="19" xfId="0" applyFont="1" applyFill="1" applyBorder="1" applyAlignment="1">
      <alignment horizontal="left" vertical="center" indent="1"/>
    </xf>
    <xf numFmtId="0" fontId="69" fillId="3" borderId="37" xfId="0" applyFont="1" applyBorder="1" applyAlignment="1">
      <alignment horizontal="left" vertical="center" wrapText="1" indent="1"/>
    </xf>
    <xf numFmtId="0" fontId="21" fillId="4" borderId="36" xfId="0" applyFont="1" applyFill="1" applyBorder="1" applyAlignment="1">
      <alignment horizontal="left" vertical="center" indent="1"/>
    </xf>
    <xf numFmtId="0" fontId="21" fillId="4" borderId="15" xfId="0" applyFont="1" applyFill="1" applyBorder="1" applyAlignment="1">
      <alignment horizontal="left" vertical="center" wrapText="1" indent="1"/>
    </xf>
    <xf numFmtId="169" fontId="36" fillId="4" borderId="16" xfId="0" applyNumberFormat="1" applyFont="1" applyFill="1" applyBorder="1" applyAlignment="1">
      <alignment horizontal="left" vertical="center" wrapText="1" indent="1"/>
    </xf>
    <xf numFmtId="0" fontId="21" fillId="4" borderId="9" xfId="0" applyFont="1" applyFill="1" applyBorder="1" applyAlignment="1">
      <alignment horizontal="left" vertical="center" wrapText="1" indent="1"/>
    </xf>
    <xf numFmtId="0" fontId="21" fillId="4" borderId="19" xfId="0" applyFont="1" applyFill="1" applyBorder="1" applyAlignment="1">
      <alignment horizontal="left" vertical="center" wrapText="1" indent="1"/>
    </xf>
    <xf numFmtId="0" fontId="21" fillId="4" borderId="26" xfId="0" applyFont="1" applyFill="1" applyBorder="1" applyAlignment="1">
      <alignment horizontal="left" vertical="center" indent="1"/>
    </xf>
    <xf numFmtId="0" fontId="21" fillId="4" borderId="23" xfId="0" applyFont="1" applyFill="1" applyBorder="1" applyAlignment="1">
      <alignment horizontal="left" vertical="center" indent="1"/>
    </xf>
    <xf numFmtId="0" fontId="21" fillId="4" borderId="26" xfId="0" applyFont="1" applyFill="1" applyBorder="1" applyAlignment="1">
      <alignment horizontal="left" vertical="center" wrapText="1" indent="1"/>
    </xf>
    <xf numFmtId="0" fontId="21" fillId="4" borderId="23" xfId="0" applyFont="1" applyFill="1" applyBorder="1" applyAlignment="1">
      <alignment horizontal="left" vertical="center" wrapText="1" indent="1"/>
    </xf>
    <xf numFmtId="0" fontId="21" fillId="4" borderId="21" xfId="0" applyFont="1" applyFill="1" applyBorder="1" applyAlignment="1">
      <alignment horizontal="left" vertical="center" indent="1"/>
    </xf>
    <xf numFmtId="0" fontId="21" fillId="4" borderId="21" xfId="0" applyFont="1" applyFill="1" applyBorder="1" applyAlignment="1">
      <alignment horizontal="left" vertical="center" wrapText="1" indent="1"/>
    </xf>
    <xf numFmtId="4" fontId="40" fillId="10" borderId="66" xfId="0" applyNumberFormat="1" applyFont="1" applyFill="1" applyBorder="1" applyAlignment="1">
      <alignment horizontal="right" indent="1"/>
    </xf>
    <xf numFmtId="165" fontId="40" fillId="10" borderId="66" xfId="1" applyNumberFormat="1" applyFont="1" applyFill="1" applyBorder="1" applyAlignment="1">
      <alignment horizontal="right" indent="1"/>
    </xf>
    <xf numFmtId="0" fontId="23" fillId="10" borderId="66" xfId="9" applyFill="1" applyBorder="1" applyAlignment="1">
      <alignment horizontal="left" wrapText="1" indent="1"/>
    </xf>
    <xf numFmtId="1" fontId="67" fillId="7" borderId="66" xfId="0" applyNumberFormat="1" applyFont="1" applyFill="1" applyBorder="1" applyAlignment="1">
      <alignment horizontal="right" indent="1"/>
    </xf>
    <xf numFmtId="3" fontId="40" fillId="3" borderId="0" xfId="1" applyNumberFormat="1" applyFont="1" applyFill="1" applyAlignment="1">
      <alignment horizontal="right" indent="1"/>
    </xf>
    <xf numFmtId="172" fontId="40" fillId="3" borderId="0" xfId="5" applyNumberFormat="1" applyFont="1" applyFill="1" applyAlignment="1">
      <alignment horizontal="right" indent="1"/>
    </xf>
    <xf numFmtId="172" fontId="40" fillId="3" borderId="66" xfId="5" applyNumberFormat="1" applyFont="1" applyFill="1" applyBorder="1" applyAlignment="1">
      <alignment horizontal="right" indent="1"/>
    </xf>
    <xf numFmtId="0" fontId="40" fillId="3" borderId="66" xfId="0" applyFont="1" applyBorder="1" applyAlignment="1">
      <alignment horizontal="right" indent="1"/>
    </xf>
    <xf numFmtId="172" fontId="23" fillId="3" borderId="0" xfId="9" applyNumberFormat="1" applyFill="1" applyAlignment="1">
      <alignment horizontal="right" indent="1"/>
    </xf>
    <xf numFmtId="0" fontId="41" fillId="3" borderId="0" xfId="0" applyFont="1" applyAlignment="1">
      <alignment horizontal="right" indent="1"/>
    </xf>
    <xf numFmtId="0" fontId="113" fillId="20" borderId="58" xfId="6" applyFont="1" applyFill="1" applyBorder="1" applyAlignment="1">
      <alignment horizontal="center"/>
    </xf>
    <xf numFmtId="175" fontId="113" fillId="3" borderId="43" xfId="6" applyNumberFormat="1" applyFont="1" applyFill="1" applyBorder="1" applyAlignment="1">
      <alignment horizontal="right" vertical="center" wrapText="1"/>
    </xf>
    <xf numFmtId="0" fontId="113" fillId="3" borderId="43" xfId="6" applyFont="1" applyFill="1" applyBorder="1" applyAlignment="1">
      <alignment vertical="center" wrapText="1"/>
    </xf>
    <xf numFmtId="0" fontId="0" fillId="3" borderId="0" xfId="0" applyAlignment="1">
      <alignment vertical="center"/>
    </xf>
    <xf numFmtId="174" fontId="4" fillId="12" borderId="59" xfId="0" applyNumberFormat="1" applyFont="1" applyFill="1" applyBorder="1" applyAlignment="1">
      <alignment horizontal="left" vertical="center" indent="1"/>
    </xf>
    <xf numFmtId="0" fontId="71" fillId="3" borderId="0" xfId="0" applyFont="1" applyAlignment="1"/>
    <xf numFmtId="0" fontId="11" fillId="3" borderId="0" xfId="0" applyFont="1" applyAlignment="1"/>
    <xf numFmtId="0" fontId="13" fillId="2" borderId="0" xfId="0" applyFont="1" applyFill="1" applyAlignment="1"/>
    <xf numFmtId="0" fontId="43" fillId="2" borderId="0" xfId="0" applyFont="1" applyFill="1" applyAlignment="1"/>
    <xf numFmtId="0" fontId="11" fillId="2" borderId="0" xfId="0" applyFont="1" applyFill="1" applyAlignment="1"/>
    <xf numFmtId="0" fontId="11" fillId="13" borderId="0" xfId="0" applyFont="1" applyFill="1" applyAlignment="1"/>
    <xf numFmtId="0" fontId="70" fillId="3" borderId="0" xfId="0" applyFont="1" applyAlignment="1"/>
    <xf numFmtId="0" fontId="11" fillId="3" borderId="30" xfId="0" applyFont="1" applyBorder="1" applyAlignment="1"/>
    <xf numFmtId="0" fontId="11" fillId="3" borderId="30" xfId="0" applyFont="1" applyBorder="1" applyAlignment="1">
      <alignment horizontal="center"/>
    </xf>
    <xf numFmtId="3" fontId="11" fillId="3" borderId="30" xfId="0" applyNumberFormat="1" applyFont="1" applyBorder="1" applyAlignment="1">
      <alignment horizontal="right"/>
    </xf>
    <xf numFmtId="167" fontId="70" fillId="3" borderId="30" xfId="0" applyNumberFormat="1" applyFont="1" applyBorder="1" applyAlignment="1">
      <alignment horizontal="right"/>
    </xf>
    <xf numFmtId="0" fontId="14" fillId="13" borderId="49" xfId="0" applyFont="1" applyFill="1" applyBorder="1" applyAlignment="1"/>
    <xf numFmtId="0" fontId="46" fillId="13" borderId="0" xfId="0" applyFont="1" applyFill="1" applyAlignment="1"/>
    <xf numFmtId="0" fontId="13" fillId="13" borderId="0" xfId="0" applyFont="1" applyFill="1" applyAlignment="1"/>
    <xf numFmtId="0" fontId="11" fillId="3" borderId="0" xfId="0" applyFont="1" applyAlignment="1">
      <alignment horizontal="center"/>
    </xf>
    <xf numFmtId="3" fontId="11" fillId="3" borderId="0" xfId="0" applyNumberFormat="1" applyFont="1" applyAlignment="1">
      <alignment horizontal="right"/>
    </xf>
    <xf numFmtId="167" fontId="70" fillId="3" borderId="0" xfId="0" applyNumberFormat="1" applyFont="1" applyAlignment="1">
      <alignment horizontal="right"/>
    </xf>
    <xf numFmtId="0" fontId="103" fillId="13" borderId="0" xfId="0" applyFont="1" applyFill="1" applyAlignment="1">
      <alignment horizontal="center" wrapText="1"/>
    </xf>
    <xf numFmtId="0" fontId="9" fillId="13" borderId="0" xfId="0" applyFont="1" applyFill="1" applyAlignment="1"/>
    <xf numFmtId="0" fontId="14" fillId="13" borderId="0" xfId="0" applyFont="1" applyFill="1" applyAlignment="1"/>
    <xf numFmtId="0" fontId="14" fillId="13" borderId="49" xfId="0" applyFont="1" applyFill="1" applyBorder="1" applyAlignment="1">
      <alignment wrapText="1"/>
    </xf>
    <xf numFmtId="0" fontId="14" fillId="13" borderId="0" xfId="0" applyFont="1" applyFill="1" applyAlignment="1">
      <alignment wrapText="1"/>
    </xf>
    <xf numFmtId="0" fontId="10" fillId="13" borderId="0" xfId="0" applyFont="1" applyFill="1" applyAlignment="1"/>
    <xf numFmtId="0" fontId="9" fillId="13" borderId="0" xfId="0" applyFont="1" applyFill="1" applyAlignment="1">
      <alignment wrapText="1"/>
    </xf>
    <xf numFmtId="0" fontId="49" fillId="13" borderId="49" xfId="0" applyFont="1" applyFill="1" applyBorder="1" applyAlignment="1">
      <alignment horizontal="center" wrapText="1"/>
    </xf>
    <xf numFmtId="0" fontId="48" fillId="13" borderId="49" xfId="0" applyFont="1" applyFill="1" applyBorder="1" applyAlignment="1">
      <alignment wrapText="1"/>
    </xf>
    <xf numFmtId="0" fontId="48" fillId="13" borderId="0" xfId="0" applyFont="1" applyFill="1" applyAlignment="1">
      <alignment wrapText="1"/>
    </xf>
    <xf numFmtId="0" fontId="72" fillId="13" borderId="0" xfId="0" applyFont="1" applyFill="1" applyAlignment="1">
      <alignment wrapText="1"/>
    </xf>
    <xf numFmtId="0" fontId="89" fillId="3" borderId="0" xfId="0" applyFont="1" applyAlignment="1">
      <alignment horizontal="left"/>
    </xf>
    <xf numFmtId="0" fontId="47" fillId="13" borderId="49" xfId="0" applyFont="1" applyFill="1" applyBorder="1" applyAlignment="1">
      <alignment wrapText="1"/>
    </xf>
    <xf numFmtId="0" fontId="47" fillId="13" borderId="0" xfId="0" applyFont="1" applyFill="1" applyAlignment="1">
      <alignment wrapText="1"/>
    </xf>
    <xf numFmtId="0" fontId="46" fillId="13" borderId="49" xfId="0" applyFont="1" applyFill="1" applyBorder="1" applyAlignment="1"/>
    <xf numFmtId="0" fontId="45" fillId="13" borderId="49" xfId="0" applyFont="1" applyFill="1" applyBorder="1" applyAlignment="1"/>
    <xf numFmtId="0" fontId="45" fillId="13" borderId="0" xfId="0" applyFont="1" applyFill="1" applyAlignment="1"/>
    <xf numFmtId="0" fontId="38" fillId="2" borderId="2" xfId="0" applyFont="1" applyFill="1" applyBorder="1" applyAlignment="1">
      <alignment horizontal="right" indent="1"/>
    </xf>
    <xf numFmtId="14" fontId="46" fillId="7" borderId="59" xfId="0" applyNumberFormat="1" applyFont="1" applyFill="1" applyBorder="1">
      <alignment horizontal="left" indent="1"/>
    </xf>
    <xf numFmtId="0" fontId="43" fillId="2" borderId="11" xfId="0" applyFont="1" applyFill="1" applyBorder="1">
      <alignment horizontal="left" indent="1"/>
    </xf>
    <xf numFmtId="0" fontId="44" fillId="2" borderId="11" xfId="0" applyFont="1" applyFill="1" applyBorder="1">
      <alignment horizontal="left" indent="1"/>
    </xf>
    <xf numFmtId="3" fontId="44" fillId="2" borderId="11" xfId="0" applyNumberFormat="1" applyFont="1" applyFill="1" applyBorder="1">
      <alignment horizontal="left" indent="1"/>
    </xf>
    <xf numFmtId="167" fontId="71" fillId="2" borderId="11" xfId="0" applyNumberFormat="1" applyFont="1" applyFill="1" applyBorder="1">
      <alignment horizontal="left" indent="1"/>
    </xf>
    <xf numFmtId="164" fontId="38" fillId="5" borderId="48" xfId="0" applyNumberFormat="1" applyFont="1" applyFill="1" applyBorder="1">
      <alignment horizontal="left" indent="1"/>
    </xf>
    <xf numFmtId="0" fontId="11" fillId="3" borderId="0" xfId="0" applyFont="1">
      <alignment horizontal="left" indent="1"/>
    </xf>
    <xf numFmtId="0" fontId="27" fillId="7" borderId="60" xfId="0" applyFont="1" applyFill="1" applyBorder="1">
      <alignment horizontal="left" indent="1"/>
    </xf>
    <xf numFmtId="0" fontId="27" fillId="7" borderId="61" xfId="0" applyFont="1" applyFill="1" applyBorder="1">
      <alignment horizontal="left" indent="1"/>
    </xf>
    <xf numFmtId="0" fontId="27" fillId="7" borderId="62" xfId="0" applyFont="1" applyFill="1" applyBorder="1">
      <alignment horizontal="left" indent="1"/>
    </xf>
    <xf numFmtId="0" fontId="27" fillId="7" borderId="59" xfId="0" applyFont="1" applyFill="1" applyBorder="1">
      <alignment horizontal="left" indent="1"/>
    </xf>
    <xf numFmtId="0" fontId="20" fillId="12" borderId="59" xfId="0" applyFont="1" applyFill="1" applyBorder="1">
      <alignment horizontal="left" indent="1"/>
    </xf>
    <xf numFmtId="3" fontId="11" fillId="3" borderId="0" xfId="0" applyNumberFormat="1" applyFont="1">
      <alignment horizontal="left" indent="1"/>
    </xf>
    <xf numFmtId="167" fontId="8" fillId="3" borderId="0" xfId="0" applyNumberFormat="1" applyFont="1">
      <alignment horizontal="left" indent="1"/>
    </xf>
    <xf numFmtId="0" fontId="37" fillId="3" borderId="0" xfId="0" applyFont="1">
      <alignment horizontal="left" indent="1"/>
    </xf>
    <xf numFmtId="0" fontId="22" fillId="8" borderId="53" xfId="0" applyFont="1" applyFill="1" applyBorder="1">
      <alignment horizontal="left" indent="1"/>
    </xf>
    <xf numFmtId="0" fontId="22" fillId="12" borderId="53" xfId="0" applyFont="1" applyFill="1" applyBorder="1">
      <alignment horizontal="left" indent="1"/>
    </xf>
    <xf numFmtId="0" fontId="46" fillId="13" borderId="0" xfId="0" applyFont="1" applyFill="1">
      <alignment horizontal="left" indent="1"/>
    </xf>
    <xf numFmtId="0" fontId="5" fillId="13" borderId="0" xfId="0" applyFont="1" applyFill="1">
      <alignment horizontal="left" indent="1"/>
    </xf>
    <xf numFmtId="164" fontId="94" fillId="2" borderId="49" xfId="0" applyNumberFormat="1" applyFont="1" applyFill="1" applyBorder="1">
      <alignment horizontal="left" indent="1"/>
    </xf>
    <xf numFmtId="0" fontId="17" fillId="2" borderId="0" xfId="0" applyFont="1" applyFill="1">
      <alignment horizontal="left" indent="1"/>
    </xf>
    <xf numFmtId="0" fontId="14" fillId="13" borderId="0" xfId="0" applyFont="1" applyFill="1">
      <alignment horizontal="left" indent="1"/>
    </xf>
    <xf numFmtId="0" fontId="72" fillId="13" borderId="0" xfId="0" applyFont="1" applyFill="1" applyAlignment="1">
      <alignment horizontal="left" wrapText="1" indent="1"/>
    </xf>
    <xf numFmtId="0" fontId="46" fillId="13" borderId="0" xfId="0" applyFont="1" applyFill="1" applyAlignment="1">
      <alignment horizontal="left" wrapText="1" indent="1"/>
    </xf>
    <xf numFmtId="0" fontId="47" fillId="13" borderId="0" xfId="0" applyFont="1" applyFill="1" applyAlignment="1">
      <alignment horizontal="left" wrapText="1" indent="1"/>
    </xf>
    <xf numFmtId="0" fontId="45" fillId="13" borderId="0" xfId="0" applyFont="1" applyFill="1">
      <alignment horizontal="left" indent="1"/>
    </xf>
    <xf numFmtId="0" fontId="17" fillId="2" borderId="0" xfId="0" applyFont="1" applyFill="1" applyAlignment="1">
      <alignment horizontal="left" vertical="center" indent="1"/>
    </xf>
    <xf numFmtId="0" fontId="103" fillId="13" borderId="0" xfId="0" applyFont="1" applyFill="1" applyAlignment="1">
      <alignment horizontal="left" wrapText="1" indent="1"/>
    </xf>
    <xf numFmtId="0" fontId="14" fillId="13" borderId="0" xfId="0" applyFont="1" applyFill="1" applyAlignment="1">
      <alignment horizontal="left" wrapText="1" indent="1"/>
    </xf>
    <xf numFmtId="0" fontId="10" fillId="3" borderId="0" xfId="0" applyFont="1">
      <alignment horizontal="left" indent="1"/>
    </xf>
    <xf numFmtId="0" fontId="10" fillId="7" borderId="59" xfId="0" applyFont="1" applyFill="1" applyBorder="1">
      <alignment horizontal="left" indent="1"/>
    </xf>
    <xf numFmtId="0" fontId="86" fillId="3" borderId="0" xfId="0" applyFont="1">
      <alignment horizontal="left" indent="1"/>
    </xf>
    <xf numFmtId="0" fontId="94" fillId="2" borderId="49" xfId="0" applyFont="1" applyFill="1" applyBorder="1" applyAlignment="1">
      <alignment horizontal="left" vertical="center" indent="1"/>
    </xf>
    <xf numFmtId="0" fontId="23" fillId="13" borderId="49" xfId="0" applyFont="1" applyFill="1" applyBorder="1" applyAlignment="1">
      <alignment horizontal="left" vertical="center" indent="1"/>
    </xf>
    <xf numFmtId="0" fontId="22" fillId="13" borderId="49" xfId="0" applyFont="1" applyFill="1" applyBorder="1" applyAlignment="1">
      <alignment horizontal="left" vertical="center" indent="1"/>
    </xf>
    <xf numFmtId="0" fontId="96" fillId="13" borderId="49" xfId="0" applyFont="1" applyFill="1" applyBorder="1" applyAlignment="1">
      <alignment horizontal="left" vertical="center" wrapText="1" indent="1"/>
    </xf>
    <xf numFmtId="0" fontId="30" fillId="13" borderId="49" xfId="0" applyFont="1" applyFill="1" applyBorder="1" applyAlignment="1">
      <alignment horizontal="left" vertical="center" wrapText="1" indent="1"/>
    </xf>
    <xf numFmtId="0" fontId="23" fillId="13" borderId="49" xfId="0" applyFont="1" applyFill="1" applyBorder="1" applyAlignment="1">
      <alignment horizontal="left" vertical="center" wrapText="1" indent="1"/>
    </xf>
    <xf numFmtId="0" fontId="24" fillId="13" borderId="49" xfId="0" applyFont="1" applyFill="1" applyBorder="1" applyAlignment="1">
      <alignment horizontal="left" vertical="center" wrapText="1" indent="1"/>
    </xf>
    <xf numFmtId="0" fontId="83" fillId="13" borderId="49" xfId="0" applyFont="1" applyFill="1" applyBorder="1" applyAlignment="1">
      <alignment horizontal="left" vertical="center" indent="1"/>
    </xf>
    <xf numFmtId="0" fontId="91" fillId="13" borderId="49" xfId="0" applyFont="1" applyFill="1" applyBorder="1" applyAlignment="1">
      <alignment horizontal="left" vertical="center" indent="1"/>
    </xf>
    <xf numFmtId="0" fontId="90" fillId="13" borderId="49" xfId="0" applyFont="1" applyFill="1" applyBorder="1" applyAlignment="1">
      <alignment horizontal="left" vertical="center" indent="1"/>
    </xf>
    <xf numFmtId="0" fontId="24" fillId="13" borderId="49" xfId="0" applyFont="1" applyFill="1" applyBorder="1" applyAlignment="1">
      <alignment horizontal="left" vertical="top" indent="1"/>
    </xf>
    <xf numFmtId="0" fontId="22" fillId="13" borderId="0" xfId="0" applyFont="1" applyFill="1" applyAlignment="1">
      <alignment horizontal="left" vertical="center" indent="1"/>
    </xf>
    <xf numFmtId="0" fontId="30" fillId="13" borderId="0" xfId="0" applyFont="1" applyFill="1" applyAlignment="1">
      <alignment horizontal="left" vertical="center" wrapText="1" indent="1"/>
    </xf>
    <xf numFmtId="0" fontId="83" fillId="13" borderId="0" xfId="0" applyFont="1" applyFill="1" applyAlignment="1">
      <alignment horizontal="left" vertical="center" indent="1"/>
    </xf>
    <xf numFmtId="0" fontId="24" fillId="13" borderId="0" xfId="0" applyFont="1" applyFill="1" applyAlignment="1">
      <alignment horizontal="left" vertical="top" wrapText="1" indent="1"/>
    </xf>
    <xf numFmtId="0" fontId="18" fillId="3" borderId="0" xfId="0" applyFont="1" applyAlignment="1"/>
    <xf numFmtId="0" fontId="17" fillId="3" borderId="0" xfId="0" applyFont="1" applyAlignment="1"/>
    <xf numFmtId="170" fontId="76" fillId="3" borderId="0" xfId="0" applyNumberFormat="1" applyFont="1">
      <alignment horizontal="left" indent="1"/>
    </xf>
    <xf numFmtId="0" fontId="18" fillId="3" borderId="0" xfId="0" applyFont="1">
      <alignment horizontal="left" indent="1"/>
    </xf>
    <xf numFmtId="0" fontId="79" fillId="3" borderId="0" xfId="0" applyFont="1">
      <alignment horizontal="left" indent="1"/>
    </xf>
    <xf numFmtId="0" fontId="78" fillId="3" borderId="0" xfId="0" applyFont="1">
      <alignment horizontal="left" indent="1"/>
    </xf>
    <xf numFmtId="0" fontId="80" fillId="3" borderId="0" xfId="0" applyFont="1">
      <alignment horizontal="left" indent="1"/>
    </xf>
    <xf numFmtId="0" fontId="81" fillId="3" borderId="0" xfId="0" applyFont="1">
      <alignment horizontal="left" indent="1"/>
    </xf>
    <xf numFmtId="0" fontId="17" fillId="3" borderId="0" xfId="0" applyFont="1">
      <alignment horizontal="left" indent="1"/>
    </xf>
    <xf numFmtId="0" fontId="18" fillId="3" borderId="57" xfId="0" applyFont="1" applyBorder="1">
      <alignment horizontal="left" indent="1"/>
    </xf>
    <xf numFmtId="0" fontId="89" fillId="3" borderId="0" xfId="0" applyFont="1">
      <alignment horizontal="left" indent="1"/>
    </xf>
    <xf numFmtId="0" fontId="18" fillId="3" borderId="78" xfId="0" applyFont="1" applyBorder="1">
      <alignment horizontal="left" indent="1"/>
    </xf>
    <xf numFmtId="0" fontId="18" fillId="3" borderId="79" xfId="0" applyFont="1" applyBorder="1">
      <alignment horizontal="left" indent="1"/>
    </xf>
    <xf numFmtId="0" fontId="97" fillId="3" borderId="78" xfId="0" applyFont="1" applyBorder="1">
      <alignment horizontal="left" indent="1"/>
    </xf>
    <xf numFmtId="0" fontId="79" fillId="3" borderId="78" xfId="0" applyFont="1" applyBorder="1">
      <alignment horizontal="left" indent="1"/>
    </xf>
    <xf numFmtId="0" fontId="78" fillId="3" borderId="78" xfId="0" applyFont="1" applyBorder="1">
      <alignment horizontal="left" indent="1"/>
    </xf>
    <xf numFmtId="0" fontId="105" fillId="3" borderId="78" xfId="11" applyFill="1" applyBorder="1" applyAlignment="1">
      <alignment horizontal="left" indent="1"/>
    </xf>
    <xf numFmtId="0" fontId="76" fillId="3" borderId="79" xfId="0" applyFont="1" applyBorder="1">
      <alignment horizontal="left" indent="1"/>
    </xf>
    <xf numFmtId="0" fontId="0" fillId="3" borderId="78" xfId="0" applyBorder="1">
      <alignment horizontal="left" indent="1"/>
    </xf>
    <xf numFmtId="0" fontId="0" fillId="3" borderId="79" xfId="0" applyBorder="1">
      <alignment horizontal="left" indent="1"/>
    </xf>
    <xf numFmtId="0" fontId="76" fillId="3" borderId="78" xfId="0" applyFont="1" applyBorder="1">
      <alignment horizontal="left" indent="1"/>
    </xf>
    <xf numFmtId="14" fontId="76" fillId="3" borderId="79" xfId="0" applyNumberFormat="1" applyFont="1" applyBorder="1">
      <alignment horizontal="left" indent="1"/>
    </xf>
    <xf numFmtId="0" fontId="10" fillId="3" borderId="78" xfId="0" applyFont="1" applyBorder="1">
      <alignment horizontal="left" indent="1"/>
    </xf>
    <xf numFmtId="0" fontId="18" fillId="3" borderId="80" xfId="0" applyFont="1" applyBorder="1">
      <alignment horizontal="left" indent="1"/>
    </xf>
    <xf numFmtId="0" fontId="18" fillId="3" borderId="81" xfId="0" applyFont="1" applyBorder="1">
      <alignment horizontal="left" indent="1"/>
    </xf>
    <xf numFmtId="0" fontId="124" fillId="3" borderId="0" xfId="10" applyFill="1" applyAlignment="1">
      <alignment vertical="center"/>
    </xf>
    <xf numFmtId="0" fontId="51" fillId="3" borderId="0" xfId="3" applyFill="1" applyAlignment="1">
      <alignment horizontal="left" vertical="center" indent="1"/>
    </xf>
    <xf numFmtId="0" fontId="112" fillId="3" borderId="0" xfId="0" applyFont="1" applyAlignment="1"/>
    <xf numFmtId="0" fontId="38" fillId="3" borderId="0" xfId="0" applyFont="1" applyAlignment="1">
      <alignment wrapText="1"/>
    </xf>
    <xf numFmtId="0" fontId="38" fillId="2" borderId="49" xfId="0" applyFont="1" applyFill="1" applyBorder="1" applyAlignment="1">
      <alignment wrapText="1"/>
    </xf>
    <xf numFmtId="0" fontId="44" fillId="2" borderId="0" xfId="0" applyFont="1" applyFill="1" applyAlignment="1"/>
    <xf numFmtId="0" fontId="38" fillId="2" borderId="0" xfId="0" applyFont="1" applyFill="1" applyAlignment="1">
      <alignment wrapText="1"/>
    </xf>
    <xf numFmtId="0" fontId="38" fillId="13" borderId="0" xfId="0" applyFont="1" applyFill="1" applyAlignment="1">
      <alignment wrapText="1"/>
    </xf>
    <xf numFmtId="14" fontId="46" fillId="3" borderId="0" xfId="0" applyNumberFormat="1" applyFont="1" applyAlignment="1">
      <alignment wrapText="1"/>
    </xf>
    <xf numFmtId="0" fontId="38" fillId="13" borderId="49" xfId="0" applyFont="1" applyFill="1" applyBorder="1" applyAlignment="1">
      <alignment wrapText="1"/>
    </xf>
    <xf numFmtId="0" fontId="72" fillId="13" borderId="0" xfId="0" applyFont="1" applyFill="1" applyAlignment="1"/>
    <xf numFmtId="0" fontId="12" fillId="3" borderId="0" xfId="0" applyFont="1" applyAlignment="1">
      <alignment horizontal="center"/>
    </xf>
    <xf numFmtId="0" fontId="12" fillId="13" borderId="49" xfId="0" applyFont="1" applyFill="1" applyBorder="1" applyAlignment="1"/>
    <xf numFmtId="0" fontId="12" fillId="13" borderId="0" xfId="0" applyFont="1" applyFill="1" applyAlignment="1"/>
    <xf numFmtId="0" fontId="12" fillId="3" borderId="0" xfId="0" applyFont="1" applyAlignment="1"/>
    <xf numFmtId="14" fontId="12" fillId="3" borderId="0" xfId="0" applyNumberFormat="1" applyFont="1" applyAlignment="1"/>
    <xf numFmtId="0" fontId="111" fillId="3" borderId="0" xfId="0" applyFont="1" applyAlignment="1">
      <alignment wrapText="1"/>
    </xf>
    <xf numFmtId="15" fontId="111" fillId="3" borderId="0" xfId="0" applyNumberFormat="1" applyFont="1" applyAlignment="1">
      <alignment wrapText="1"/>
    </xf>
    <xf numFmtId="0" fontId="74" fillId="2" borderId="0" xfId="0" applyFont="1" applyFill="1" applyAlignment="1">
      <alignment horizontal="left" wrapText="1" indent="1"/>
    </xf>
    <xf numFmtId="14" fontId="11" fillId="3" borderId="4" xfId="0" applyNumberFormat="1" applyFont="1" applyBorder="1" applyAlignment="1">
      <alignment horizontal="left" wrapText="1" indent="1"/>
    </xf>
    <xf numFmtId="14" fontId="12" fillId="3" borderId="4" xfId="0" applyNumberFormat="1" applyFont="1" applyBorder="1">
      <alignment horizontal="left" indent="1"/>
    </xf>
    <xf numFmtId="14" fontId="11" fillId="3" borderId="63" xfId="0" applyNumberFormat="1" applyFont="1" applyBorder="1" applyAlignment="1">
      <alignment horizontal="left" wrapText="1" indent="1"/>
    </xf>
    <xf numFmtId="0" fontId="44" fillId="2" borderId="0" xfId="0" applyFont="1" applyFill="1">
      <alignment horizontal="left" indent="1"/>
    </xf>
    <xf numFmtId="167" fontId="50" fillId="7" borderId="59" xfId="2" applyNumberFormat="1" applyFont="1" applyFill="1" applyBorder="1" applyAlignment="1" applyProtection="1">
      <alignment horizontal="right" indent="1"/>
      <protection locked="0"/>
    </xf>
    <xf numFmtId="0" fontId="27" fillId="12" borderId="60" xfId="0" applyFont="1" applyFill="1" applyBorder="1">
      <alignment horizontal="left" indent="1"/>
    </xf>
    <xf numFmtId="0" fontId="27" fillId="12" borderId="61" xfId="0" applyFont="1" applyFill="1" applyBorder="1">
      <alignment horizontal="left" indent="1"/>
    </xf>
    <xf numFmtId="0" fontId="27" fillId="12" borderId="62" xfId="0" applyFont="1" applyFill="1" applyBorder="1">
      <alignment horizontal="left" indent="1"/>
    </xf>
    <xf numFmtId="3" fontId="27" fillId="12" borderId="59" xfId="0" applyNumberFormat="1" applyFont="1" applyFill="1" applyBorder="1" applyAlignment="1">
      <alignment horizontal="right" indent="1"/>
    </xf>
    <xf numFmtId="0" fontId="11" fillId="12" borderId="62" xfId="0" applyFont="1" applyFill="1" applyBorder="1">
      <alignment horizontal="left" indent="1"/>
    </xf>
    <xf numFmtId="0" fontId="67" fillId="3" borderId="0" xfId="0" applyFont="1">
      <alignment horizontal="left" indent="1"/>
    </xf>
    <xf numFmtId="3" fontId="67" fillId="3" borderId="0" xfId="0" applyNumberFormat="1" applyFont="1" applyAlignment="1">
      <alignment horizontal="right" indent="1"/>
    </xf>
    <xf numFmtId="167" fontId="67" fillId="3" borderId="0" xfId="0" applyNumberFormat="1" applyFont="1" applyAlignment="1">
      <alignment horizontal="right" indent="1"/>
    </xf>
    <xf numFmtId="0" fontId="124" fillId="3" borderId="0" xfId="10" applyFill="1" applyBorder="1" applyAlignment="1">
      <alignment vertical="center"/>
    </xf>
    <xf numFmtId="164" fontId="94" fillId="2" borderId="0" xfId="0" applyNumberFormat="1" applyFont="1" applyFill="1" applyAlignment="1">
      <alignment horizontal="left" vertical="center" indent="1"/>
    </xf>
    <xf numFmtId="0" fontId="20" fillId="13" borderId="0" xfId="0" applyFont="1" applyFill="1" applyAlignment="1">
      <alignment horizontal="left" vertical="center" indent="1"/>
    </xf>
    <xf numFmtId="0" fontId="116" fillId="8" borderId="53" xfId="0" applyFont="1" applyFill="1" applyBorder="1" applyAlignment="1">
      <alignment horizontal="left" vertical="center" indent="1"/>
    </xf>
    <xf numFmtId="0" fontId="116" fillId="12" borderId="53" xfId="0" applyFont="1" applyFill="1" applyBorder="1" applyAlignment="1">
      <alignment horizontal="left" vertical="center" indent="1"/>
    </xf>
    <xf numFmtId="0" fontId="10" fillId="13" borderId="0" xfId="0" applyFont="1" applyFill="1" applyAlignment="1">
      <alignment horizontal="left" vertical="center" indent="1"/>
    </xf>
    <xf numFmtId="0" fontId="10" fillId="13" borderId="0" xfId="0" applyFont="1" applyFill="1" applyAlignment="1">
      <alignment horizontal="left" vertical="top" wrapText="1" indent="1"/>
    </xf>
    <xf numFmtId="0" fontId="23" fillId="13" borderId="0" xfId="9" quotePrefix="1" applyFill="1" applyAlignment="1">
      <alignment horizontal="left" vertical="center" indent="1"/>
    </xf>
    <xf numFmtId="0" fontId="127" fillId="13" borderId="0" xfId="11" applyFont="1" applyFill="1" applyAlignment="1">
      <alignment horizontal="left" vertical="center" indent="1"/>
    </xf>
    <xf numFmtId="0" fontId="116" fillId="13" borderId="0" xfId="0" applyFont="1" applyFill="1" applyAlignment="1">
      <alignment horizontal="left" vertical="center" indent="1"/>
    </xf>
    <xf numFmtId="0" fontId="0" fillId="3" borderId="0" xfId="0" quotePrefix="1">
      <alignment horizontal="left" indent="1"/>
    </xf>
    <xf numFmtId="0" fontId="17" fillId="2" borderId="0" xfId="0" applyFont="1" applyFill="1" applyAlignment="1"/>
    <xf numFmtId="0" fontId="18" fillId="3" borderId="46" xfId="0" applyFont="1" applyBorder="1" applyAlignment="1"/>
    <xf numFmtId="0" fontId="10" fillId="3" borderId="30" xfId="0" applyFont="1" applyBorder="1" applyAlignment="1"/>
    <xf numFmtId="0" fontId="10" fillId="3" borderId="30" xfId="0" applyFont="1" applyBorder="1" applyAlignment="1">
      <alignment horizontal="right"/>
    </xf>
    <xf numFmtId="0" fontId="10" fillId="3" borderId="0" xfId="0" applyFont="1" applyAlignment="1">
      <alignment horizontal="left"/>
    </xf>
    <xf numFmtId="0" fontId="10" fillId="3" borderId="30" xfId="0" applyFont="1" applyBorder="1" applyAlignment="1">
      <alignment horizontal="left"/>
    </xf>
    <xf numFmtId="167" fontId="99" fillId="13" borderId="49" xfId="2" applyNumberFormat="1" applyFont="1" applyFill="1" applyBorder="1" applyAlignment="1">
      <alignment horizontal="center"/>
    </xf>
    <xf numFmtId="0" fontId="10" fillId="13" borderId="0" xfId="0" applyFont="1" applyFill="1" applyAlignment="1">
      <alignment horizontal="center"/>
    </xf>
    <xf numFmtId="0" fontId="18" fillId="13" borderId="0" xfId="0" applyFont="1" applyFill="1" applyAlignment="1"/>
    <xf numFmtId="0" fontId="18" fillId="3" borderId="44" xfId="0" applyFont="1" applyBorder="1" applyAlignment="1"/>
    <xf numFmtId="0" fontId="19" fillId="3" borderId="0" xfId="0" applyFont="1" applyAlignment="1"/>
    <xf numFmtId="0" fontId="10" fillId="3" borderId="0" xfId="0" applyFont="1" applyAlignment="1"/>
    <xf numFmtId="167" fontId="19" fillId="3" borderId="45" xfId="2" applyNumberFormat="1" applyFont="1" applyFill="1" applyBorder="1" applyAlignment="1">
      <alignment horizontal="right"/>
    </xf>
    <xf numFmtId="0" fontId="23" fillId="3" borderId="0" xfId="0" applyFont="1" applyAlignment="1">
      <alignment horizontal="left"/>
    </xf>
    <xf numFmtId="165" fontId="22" fillId="3" borderId="0" xfId="1" applyNumberFormat="1" applyFont="1" applyFill="1" applyBorder="1" applyAlignment="1"/>
    <xf numFmtId="0" fontId="10" fillId="3" borderId="0" xfId="0" applyFont="1" applyAlignment="1">
      <alignment horizontal="right"/>
    </xf>
    <xf numFmtId="0" fontId="28" fillId="3" borderId="0" xfId="0" applyFont="1" applyAlignment="1">
      <alignment horizontal="left"/>
    </xf>
    <xf numFmtId="0" fontId="19" fillId="3" borderId="0" xfId="0" applyFont="1" applyAlignment="1">
      <alignment horizontal="left"/>
    </xf>
    <xf numFmtId="165" fontId="19" fillId="3" borderId="0" xfId="1" applyNumberFormat="1" applyFont="1" applyFill="1" applyBorder="1" applyAlignment="1">
      <alignment horizontal="left"/>
    </xf>
    <xf numFmtId="0" fontId="54" fillId="3" borderId="0" xfId="0" applyFont="1" applyAlignment="1"/>
    <xf numFmtId="0" fontId="57" fillId="3" borderId="44" xfId="0" applyFont="1" applyBorder="1" applyAlignment="1">
      <alignment horizontal="right"/>
    </xf>
    <xf numFmtId="165" fontId="82" fillId="3" borderId="0" xfId="1" applyNumberFormat="1" applyFont="1" applyFill="1" applyBorder="1" applyAlignment="1"/>
    <xf numFmtId="0" fontId="76" fillId="3" borderId="0" xfId="0" applyFont="1" applyAlignment="1">
      <alignment horizontal="right"/>
    </xf>
    <xf numFmtId="0" fontId="76" fillId="3" borderId="0" xfId="0" applyFont="1" applyAlignment="1"/>
    <xf numFmtId="167" fontId="56" fillId="3" borderId="45" xfId="2" applyNumberFormat="1" applyFont="1" applyFill="1" applyBorder="1" applyAlignment="1">
      <alignment horizontal="right"/>
    </xf>
    <xf numFmtId="0" fontId="54" fillId="13" borderId="0" xfId="0" applyFont="1" applyFill="1" applyAlignment="1"/>
    <xf numFmtId="0" fontId="17" fillId="13" borderId="0" xfId="0" applyFont="1" applyFill="1" applyAlignment="1"/>
    <xf numFmtId="0" fontId="20" fillId="3" borderId="0" xfId="0" applyFont="1" applyAlignment="1"/>
    <xf numFmtId="0" fontId="20" fillId="13" borderId="0" xfId="0" applyFont="1" applyFill="1" applyAlignment="1"/>
    <xf numFmtId="0" fontId="20" fillId="8" borderId="0" xfId="0" applyFont="1" applyFill="1" applyAlignment="1"/>
    <xf numFmtId="0" fontId="20" fillId="6" borderId="44" xfId="0" applyFont="1" applyFill="1" applyBorder="1" applyAlignment="1"/>
    <xf numFmtId="0" fontId="20" fillId="6" borderId="0" xfId="0" applyFont="1" applyFill="1" applyAlignment="1"/>
    <xf numFmtId="0" fontId="32" fillId="4" borderId="44" xfId="0" applyFont="1" applyFill="1" applyBorder="1" applyAlignment="1"/>
    <xf numFmtId="0" fontId="20" fillId="4" borderId="0" xfId="0" applyFont="1" applyFill="1" applyAlignment="1"/>
    <xf numFmtId="0" fontId="20" fillId="3" borderId="44" xfId="0" applyFont="1" applyBorder="1" applyAlignment="1"/>
    <xf numFmtId="0" fontId="20" fillId="3" borderId="44" xfId="0" applyFont="1" applyBorder="1" applyAlignment="1" applyProtection="1">
      <protection locked="0"/>
    </xf>
    <xf numFmtId="0" fontId="33" fillId="3" borderId="0" xfId="0" applyFont="1" applyAlignment="1"/>
    <xf numFmtId="0" fontId="33" fillId="13" borderId="0" xfId="0" applyFont="1" applyFill="1" applyAlignment="1"/>
    <xf numFmtId="0" fontId="33" fillId="6" borderId="0" xfId="0" applyFont="1" applyFill="1" applyAlignment="1"/>
    <xf numFmtId="0" fontId="33" fillId="8" borderId="0" xfId="0" applyFont="1" applyFill="1" applyAlignment="1"/>
    <xf numFmtId="0" fontId="20" fillId="3" borderId="0" xfId="0" applyFont="1" applyAlignment="1" applyProtection="1">
      <protection locked="0"/>
    </xf>
    <xf numFmtId="0" fontId="34" fillId="3" borderId="44" xfId="0" applyFont="1" applyBorder="1" applyAlignment="1" applyProtection="1">
      <protection locked="0"/>
    </xf>
    <xf numFmtId="0" fontId="31" fillId="3" borderId="0" xfId="0" applyFont="1" applyAlignment="1"/>
    <xf numFmtId="0" fontId="31" fillId="13" borderId="0" xfId="0" applyFont="1" applyFill="1" applyAlignment="1"/>
    <xf numFmtId="0" fontId="31" fillId="4" borderId="0" xfId="0" applyFont="1" applyFill="1" applyAlignment="1"/>
    <xf numFmtId="0" fontId="35" fillId="3" borderId="44" xfId="0" applyFont="1" applyBorder="1" applyAlignment="1" applyProtection="1">
      <protection locked="0"/>
    </xf>
    <xf numFmtId="0" fontId="32" fillId="3" borderId="0" xfId="0" applyFont="1" applyAlignment="1"/>
    <xf numFmtId="0" fontId="32" fillId="13" borderId="0" xfId="0" applyFont="1" applyFill="1" applyAlignment="1"/>
    <xf numFmtId="0" fontId="32" fillId="4" borderId="0" xfId="0" applyFont="1" applyFill="1" applyAlignment="1"/>
    <xf numFmtId="0" fontId="29" fillId="3" borderId="0" xfId="0" applyFont="1" applyAlignment="1"/>
    <xf numFmtId="0" fontId="29" fillId="3" borderId="44" xfId="0" applyFont="1" applyBorder="1" applyAlignment="1" applyProtection="1">
      <protection locked="0"/>
    </xf>
    <xf numFmtId="0" fontId="29" fillId="13" borderId="0" xfId="0" applyFont="1" applyFill="1" applyAlignment="1"/>
    <xf numFmtId="0" fontId="20" fillId="3" borderId="55" xfId="0" applyFont="1" applyBorder="1" applyAlignment="1" applyProtection="1">
      <protection locked="0"/>
    </xf>
    <xf numFmtId="0" fontId="20" fillId="3" borderId="0" xfId="0" applyFont="1" applyAlignment="1" applyProtection="1">
      <alignment horizontal="left"/>
      <protection locked="0"/>
    </xf>
    <xf numFmtId="0" fontId="18" fillId="3" borderId="0" xfId="0" applyFont="1" applyAlignment="1" applyProtection="1">
      <protection locked="0"/>
    </xf>
    <xf numFmtId="165" fontId="10" fillId="3" borderId="0" xfId="1" applyNumberFormat="1" applyFont="1" applyFill="1" applyAlignment="1">
      <alignment horizontal="left"/>
    </xf>
    <xf numFmtId="167" fontId="18" fillId="3" borderId="0" xfId="2" applyNumberFormat="1" applyFont="1" applyFill="1" applyAlignment="1">
      <alignment horizontal="right"/>
    </xf>
    <xf numFmtId="165" fontId="10" fillId="0" borderId="0" xfId="1" applyNumberFormat="1" applyFont="1" applyAlignment="1">
      <alignment horizontal="left"/>
    </xf>
    <xf numFmtId="167" fontId="18" fillId="0" borderId="0" xfId="2" applyNumberFormat="1" applyFont="1" applyAlignment="1">
      <alignment horizontal="right"/>
    </xf>
    <xf numFmtId="0" fontId="10" fillId="3" borderId="0" xfId="0" applyFont="1" applyAlignment="1">
      <alignment horizontal="center"/>
    </xf>
    <xf numFmtId="165" fontId="124" fillId="3" borderId="0" xfId="10" applyNumberFormat="1" applyFill="1" applyBorder="1" applyAlignment="1"/>
    <xf numFmtId="0" fontId="17" fillId="2" borderId="2" xfId="0" applyFont="1" applyFill="1" applyBorder="1">
      <alignment horizontal="left" indent="1"/>
    </xf>
    <xf numFmtId="0" fontId="17" fillId="2" borderId="11" xfId="0" applyFont="1" applyFill="1" applyBorder="1">
      <alignment horizontal="left" indent="1"/>
    </xf>
    <xf numFmtId="14" fontId="22" fillId="7" borderId="59" xfId="0" applyNumberFormat="1" applyFont="1" applyFill="1" applyBorder="1">
      <alignment horizontal="left" indent="1"/>
    </xf>
    <xf numFmtId="0" fontId="17" fillId="13" borderId="0" xfId="0" applyFont="1" applyFill="1">
      <alignment horizontal="left" indent="1"/>
    </xf>
    <xf numFmtId="0" fontId="104" fillId="3" borderId="0" xfId="0" applyFont="1">
      <alignment horizontal="left" indent="1"/>
    </xf>
    <xf numFmtId="0" fontId="25" fillId="3" borderId="0" xfId="0" applyFont="1">
      <alignment horizontal="left" indent="1"/>
    </xf>
    <xf numFmtId="0" fontId="19" fillId="3" borderId="0" xfId="0" applyFont="1">
      <alignment horizontal="left" indent="1"/>
    </xf>
    <xf numFmtId="166" fontId="25" fillId="7" borderId="59" xfId="1" applyNumberFormat="1" applyFont="1" applyFill="1" applyBorder="1" applyAlignment="1" applyProtection="1">
      <alignment horizontal="left" indent="1"/>
    </xf>
    <xf numFmtId="165" fontId="22" fillId="3" borderId="0" xfId="1" quotePrefix="1" applyNumberFormat="1" applyFont="1" applyFill="1" applyBorder="1" applyAlignment="1" applyProtection="1">
      <alignment horizontal="left" indent="1"/>
    </xf>
    <xf numFmtId="14" fontId="22" fillId="12" borderId="59" xfId="0" applyNumberFormat="1" applyFont="1" applyFill="1" applyBorder="1">
      <alignment horizontal="left" indent="1"/>
    </xf>
    <xf numFmtId="165" fontId="19" fillId="3" borderId="0" xfId="1" applyNumberFormat="1" applyFont="1" applyFill="1" applyBorder="1" applyAlignment="1" applyProtection="1">
      <alignment horizontal="left" indent="1"/>
    </xf>
    <xf numFmtId="0" fontId="28" fillId="3" borderId="0" xfId="0" applyFont="1">
      <alignment horizontal="left" indent="1"/>
    </xf>
    <xf numFmtId="0" fontId="23" fillId="3" borderId="0" xfId="0" applyFont="1">
      <alignment horizontal="left" indent="1"/>
    </xf>
    <xf numFmtId="14" fontId="28" fillId="3" borderId="0" xfId="0" applyNumberFormat="1" applyFont="1">
      <alignment horizontal="left" indent="1"/>
    </xf>
    <xf numFmtId="165" fontId="19" fillId="3" borderId="0" xfId="1" applyNumberFormat="1" applyFont="1" applyFill="1" applyBorder="1" applyAlignment="1">
      <alignment horizontal="left" indent="1"/>
    </xf>
    <xf numFmtId="0" fontId="22" fillId="6" borderId="0" xfId="0" applyFont="1" applyFill="1">
      <alignment horizontal="left" indent="1"/>
    </xf>
    <xf numFmtId="0" fontId="93" fillId="6" borderId="0" xfId="0" applyFont="1" applyFill="1">
      <alignment horizontal="left" indent="1"/>
    </xf>
    <xf numFmtId="0" fontId="10" fillId="6" borderId="0" xfId="0" applyFont="1" applyFill="1">
      <alignment horizontal="left" indent="1"/>
    </xf>
    <xf numFmtId="0" fontId="76" fillId="4" borderId="0" xfId="0" applyFont="1" applyFill="1" applyProtection="1">
      <alignment horizontal="left" indent="1"/>
      <protection locked="0"/>
    </xf>
    <xf numFmtId="0" fontId="93" fillId="3" borderId="0" xfId="0" applyFont="1" applyProtection="1">
      <alignment horizontal="left" indent="1"/>
      <protection locked="0"/>
    </xf>
    <xf numFmtId="0" fontId="93" fillId="3" borderId="0" xfId="0" quotePrefix="1" applyFont="1" applyProtection="1">
      <alignment horizontal="left" indent="1"/>
      <protection locked="0"/>
    </xf>
    <xf numFmtId="0" fontId="10" fillId="3" borderId="0" xfId="0" applyFont="1" applyProtection="1">
      <alignment horizontal="left" indent="1"/>
      <protection locked="0"/>
    </xf>
    <xf numFmtId="0" fontId="76" fillId="3" borderId="0" xfId="0" applyFont="1" applyProtection="1">
      <alignment horizontal="left" indent="1"/>
      <protection locked="0"/>
    </xf>
    <xf numFmtId="0" fontId="10" fillId="3" borderId="0" xfId="0" quotePrefix="1" applyFont="1" applyProtection="1">
      <alignment horizontal="left" indent="1"/>
      <protection locked="0"/>
    </xf>
    <xf numFmtId="3" fontId="10" fillId="12" borderId="0" xfId="0" applyNumberFormat="1" applyFont="1" applyFill="1" applyProtection="1">
      <alignment horizontal="left" indent="1"/>
      <protection locked="0"/>
    </xf>
    <xf numFmtId="166" fontId="10" fillId="12" borderId="0" xfId="1" applyNumberFormat="1" applyFont="1" applyFill="1" applyBorder="1" applyAlignment="1" applyProtection="1">
      <alignment horizontal="left" indent="1"/>
      <protection locked="0"/>
    </xf>
    <xf numFmtId="166" fontId="10" fillId="3" borderId="10" xfId="0" applyNumberFormat="1" applyFont="1" applyBorder="1" applyProtection="1">
      <alignment horizontal="left" indent="1"/>
      <protection locked="0"/>
    </xf>
    <xf numFmtId="166" fontId="10" fillId="3" borderId="10" xfId="1" applyNumberFormat="1" applyFont="1" applyFill="1" applyBorder="1" applyAlignment="1" applyProtection="1">
      <alignment horizontal="left" indent="1"/>
      <protection locked="0"/>
    </xf>
    <xf numFmtId="0" fontId="10" fillId="3" borderId="10" xfId="0" applyFont="1" applyBorder="1" applyProtection="1">
      <alignment horizontal="left" indent="1"/>
      <protection locked="0"/>
    </xf>
    <xf numFmtId="0" fontId="22" fillId="3" borderId="0" xfId="0" applyFont="1" applyProtection="1">
      <alignment horizontal="left" indent="1"/>
      <protection locked="0"/>
    </xf>
    <xf numFmtId="0" fontId="10" fillId="3" borderId="55" xfId="0" applyFont="1" applyBorder="1" applyProtection="1">
      <alignment horizontal="left" indent="1"/>
      <protection locked="0"/>
    </xf>
    <xf numFmtId="0" fontId="82" fillId="3" borderId="0" xfId="0" quotePrefix="1" applyFont="1" applyProtection="1">
      <alignment horizontal="left" indent="1"/>
      <protection locked="0"/>
    </xf>
    <xf numFmtId="165" fontId="10" fillId="3" borderId="0" xfId="1" applyNumberFormat="1" applyFont="1" applyFill="1" applyBorder="1" applyAlignment="1" applyProtection="1">
      <alignment horizontal="right" indent="1"/>
      <protection locked="0"/>
    </xf>
    <xf numFmtId="165" fontId="10" fillId="3" borderId="55" xfId="1" applyNumberFormat="1" applyFont="1" applyFill="1" applyBorder="1" applyAlignment="1" applyProtection="1">
      <alignment horizontal="right" indent="1"/>
      <protection locked="0"/>
    </xf>
    <xf numFmtId="0" fontId="10" fillId="3" borderId="0" xfId="0" applyFont="1" applyAlignment="1" applyProtection="1">
      <alignment horizontal="right" indent="1"/>
      <protection locked="0"/>
    </xf>
    <xf numFmtId="165" fontId="10" fillId="3" borderId="0" xfId="1" applyNumberFormat="1" applyFont="1" applyFill="1" applyAlignment="1">
      <alignment horizontal="right" indent="1"/>
    </xf>
    <xf numFmtId="167" fontId="20" fillId="7" borderId="47" xfId="2" applyNumberFormat="1" applyFont="1" applyFill="1" applyBorder="1" applyAlignment="1" applyProtection="1">
      <alignment horizontal="right" indent="1"/>
      <protection locked="0"/>
    </xf>
    <xf numFmtId="167" fontId="63" fillId="2" borderId="3" xfId="2" applyNumberFormat="1" applyFont="1" applyFill="1" applyBorder="1" applyAlignment="1" applyProtection="1">
      <alignment horizontal="right" indent="1"/>
      <protection locked="0"/>
    </xf>
    <xf numFmtId="167" fontId="20" fillId="7" borderId="45" xfId="2" applyNumberFormat="1" applyFont="1" applyFill="1" applyBorder="1" applyAlignment="1" applyProtection="1">
      <alignment horizontal="right" indent="1"/>
      <protection locked="0"/>
    </xf>
    <xf numFmtId="167" fontId="20" fillId="3" borderId="55" xfId="2" applyNumberFormat="1" applyFont="1" applyFill="1" applyBorder="1" applyAlignment="1" applyProtection="1">
      <alignment horizontal="right" indent="1"/>
      <protection locked="0"/>
    </xf>
    <xf numFmtId="167" fontId="20" fillId="3" borderId="0" xfId="2" applyNumberFormat="1" applyFont="1" applyFill="1" applyBorder="1" applyAlignment="1" applyProtection="1">
      <alignment horizontal="right" indent="1"/>
      <protection locked="0"/>
    </xf>
    <xf numFmtId="167" fontId="18" fillId="3" borderId="0" xfId="2" applyNumberFormat="1" applyFont="1" applyFill="1" applyBorder="1" applyAlignment="1" applyProtection="1">
      <alignment horizontal="right" indent="1"/>
      <protection locked="0"/>
    </xf>
    <xf numFmtId="167" fontId="18" fillId="3" borderId="0" xfId="2" applyNumberFormat="1" applyFont="1" applyFill="1" applyAlignment="1">
      <alignment horizontal="right" indent="1"/>
    </xf>
    <xf numFmtId="0" fontId="10" fillId="3" borderId="1" xfId="0" applyFont="1" applyBorder="1" applyProtection="1">
      <alignment horizontal="left" indent="1"/>
      <protection locked="0"/>
    </xf>
    <xf numFmtId="0" fontId="76" fillId="3" borderId="1" xfId="0" applyFont="1" applyBorder="1" applyProtection="1">
      <alignment horizontal="left" indent="1"/>
      <protection locked="0"/>
    </xf>
    <xf numFmtId="0" fontId="22" fillId="3" borderId="1" xfId="0" quotePrefix="1" applyFont="1" applyBorder="1" applyProtection="1">
      <alignment horizontal="left" indent="1"/>
      <protection locked="0"/>
    </xf>
    <xf numFmtId="0" fontId="20" fillId="3" borderId="0" xfId="0" applyFont="1">
      <alignment horizontal="left" indent="1"/>
    </xf>
    <xf numFmtId="0" fontId="3" fillId="3" borderId="0" xfId="0" applyFont="1" applyAlignment="1">
      <alignment horizontal="left" vertical="center"/>
    </xf>
    <xf numFmtId="0" fontId="17" fillId="3" borderId="0" xfId="0" applyFont="1" applyAlignment="1">
      <alignment vertical="center"/>
    </xf>
    <xf numFmtId="0" fontId="62" fillId="3" borderId="0" xfId="0" applyFont="1" applyAlignment="1">
      <alignment vertical="center"/>
    </xf>
    <xf numFmtId="0" fontId="129" fillId="3" borderId="0" xfId="0" applyFont="1" applyAlignment="1">
      <alignment horizontal="left" vertical="center" indent="2"/>
    </xf>
    <xf numFmtId="0" fontId="3" fillId="3" borderId="0" xfId="0" applyFont="1" applyAlignment="1">
      <alignment horizontal="left" vertical="center" indent="2"/>
    </xf>
    <xf numFmtId="0" fontId="64" fillId="3" borderId="0" xfId="0" applyFont="1" applyAlignment="1">
      <alignment horizontal="left" vertical="center" wrapText="1" indent="2"/>
    </xf>
    <xf numFmtId="0" fontId="33" fillId="3" borderId="0" xfId="0" applyFont="1">
      <alignment horizontal="left" indent="1"/>
    </xf>
    <xf numFmtId="0" fontId="124" fillId="3" borderId="0" xfId="10" applyFill="1" applyBorder="1" applyAlignment="1">
      <alignment horizontal="left" indent="1"/>
    </xf>
    <xf numFmtId="0" fontId="116" fillId="13" borderId="0" xfId="0" applyFont="1" applyFill="1" applyAlignment="1">
      <alignment horizontal="left" vertical="top" wrapText="1" indent="1"/>
    </xf>
    <xf numFmtId="0" fontId="76" fillId="3" borderId="0" xfId="0" applyFont="1">
      <alignment horizontal="left" indent="1"/>
    </xf>
    <xf numFmtId="0" fontId="94" fillId="3" borderId="0" xfId="0" applyFont="1" applyAlignment="1">
      <alignment horizontal="center" vertical="center"/>
    </xf>
    <xf numFmtId="0" fontId="94" fillId="13" borderId="0" xfId="0" applyFont="1" applyFill="1" applyAlignment="1">
      <alignment horizontal="center" vertical="center"/>
    </xf>
    <xf numFmtId="0" fontId="94" fillId="2" borderId="0" xfId="0" applyFont="1" applyFill="1" applyAlignment="1">
      <alignment horizontal="center" vertical="center"/>
    </xf>
    <xf numFmtId="0" fontId="76" fillId="3" borderId="0" xfId="0" quotePrefix="1" applyFont="1">
      <alignment horizontal="left" indent="1"/>
    </xf>
    <xf numFmtId="3" fontId="10" fillId="0" borderId="0" xfId="0" applyNumberFormat="1" applyFont="1" applyFill="1" applyAlignment="1">
      <alignment horizontal="left" vertical="center" indent="1"/>
    </xf>
    <xf numFmtId="0" fontId="97" fillId="3" borderId="0" xfId="0" applyFont="1">
      <alignment horizontal="left" indent="1"/>
    </xf>
    <xf numFmtId="0" fontId="0" fillId="3" borderId="0" xfId="0" applyAlignment="1">
      <alignment vertical="top"/>
    </xf>
    <xf numFmtId="0" fontId="131" fillId="3" borderId="0" xfId="0" applyFont="1" applyAlignment="1">
      <alignment horizontal="left" vertical="center" indent="1"/>
    </xf>
    <xf numFmtId="167" fontId="131" fillId="7" borderId="45" xfId="2" applyNumberFormat="1" applyFont="1" applyFill="1" applyBorder="1" applyAlignment="1" applyProtection="1">
      <alignment horizontal="right" indent="1"/>
      <protection locked="0"/>
    </xf>
    <xf numFmtId="0" fontId="76" fillId="3" borderId="0" xfId="0" quotePrefix="1" applyFont="1" applyAlignment="1">
      <alignment horizontal="left" vertical="top" indent="1"/>
    </xf>
    <xf numFmtId="0" fontId="76" fillId="3" borderId="0" xfId="0" applyFont="1" applyAlignment="1">
      <alignment horizontal="left" vertical="top" wrapText="1"/>
    </xf>
    <xf numFmtId="0" fontId="98" fillId="3" borderId="1" xfId="0" applyFont="1" applyBorder="1" applyProtection="1">
      <alignment horizontal="left" indent="1"/>
      <protection locked="0"/>
    </xf>
    <xf numFmtId="167" fontId="32" fillId="7" borderId="47" xfId="2" applyNumberFormat="1" applyFont="1" applyFill="1" applyBorder="1" applyAlignment="1" applyProtection="1">
      <alignment horizontal="right" indent="1"/>
      <protection locked="0"/>
    </xf>
    <xf numFmtId="167" fontId="131" fillId="7" borderId="47" xfId="2" applyNumberFormat="1" applyFont="1" applyFill="1" applyBorder="1" applyAlignment="1" applyProtection="1">
      <alignment horizontal="left" indent="1"/>
      <protection locked="0"/>
    </xf>
    <xf numFmtId="0" fontId="94" fillId="2" borderId="86" xfId="0" applyFont="1" applyFill="1" applyBorder="1" applyAlignment="1">
      <alignment horizontal="center" vertical="center"/>
    </xf>
    <xf numFmtId="0" fontId="142" fillId="2" borderId="86" xfId="0" applyFont="1" applyFill="1" applyBorder="1" applyAlignment="1">
      <alignment horizontal="left" vertical="center"/>
    </xf>
    <xf numFmtId="0" fontId="17" fillId="2" borderId="86" xfId="0" applyFont="1" applyFill="1" applyBorder="1" applyAlignment="1">
      <alignment horizontal="center" vertical="center"/>
    </xf>
    <xf numFmtId="0" fontId="135" fillId="2" borderId="86" xfId="0" applyFont="1" applyFill="1" applyBorder="1" applyAlignment="1">
      <alignment horizontal="center" vertical="center"/>
    </xf>
    <xf numFmtId="0" fontId="76" fillId="4" borderId="0" xfId="0" applyFont="1" applyFill="1">
      <alignment horizontal="left" indent="1"/>
    </xf>
    <xf numFmtId="0" fontId="10" fillId="4" borderId="0" xfId="0" applyFont="1" applyFill="1" applyProtection="1">
      <alignment horizontal="left" indent="1"/>
      <protection locked="0"/>
    </xf>
    <xf numFmtId="165" fontId="10" fillId="3" borderId="0" xfId="1" applyNumberFormat="1" applyFont="1" applyFill="1" applyBorder="1" applyAlignment="1">
      <alignment horizontal="left"/>
    </xf>
    <xf numFmtId="165" fontId="10" fillId="3" borderId="0" xfId="0" quotePrefix="1" applyNumberFormat="1" applyFont="1">
      <alignment horizontal="left" indent="1"/>
    </xf>
    <xf numFmtId="0" fontId="18" fillId="3" borderId="45" xfId="0" applyFont="1" applyBorder="1" applyAlignment="1">
      <alignment horizontal="right"/>
    </xf>
    <xf numFmtId="0" fontId="18" fillId="3" borderId="0" xfId="0" applyFont="1" applyAlignment="1">
      <alignment horizontal="right"/>
    </xf>
    <xf numFmtId="167" fontId="19" fillId="3" borderId="0" xfId="2" applyNumberFormat="1" applyFont="1" applyFill="1" applyBorder="1" applyAlignment="1">
      <alignment horizontal="right"/>
    </xf>
    <xf numFmtId="167" fontId="56" fillId="3" borderId="0" xfId="2" applyNumberFormat="1" applyFont="1" applyFill="1" applyBorder="1" applyAlignment="1">
      <alignment horizontal="right"/>
    </xf>
    <xf numFmtId="0" fontId="17" fillId="2" borderId="91" xfId="0" applyFont="1" applyFill="1" applyBorder="1" applyAlignment="1">
      <alignment horizontal="center" vertical="center"/>
    </xf>
    <xf numFmtId="0" fontId="10" fillId="12" borderId="1" xfId="0" applyFont="1" applyFill="1" applyBorder="1" applyProtection="1">
      <alignment horizontal="left" indent="1"/>
      <protection locked="0"/>
    </xf>
    <xf numFmtId="176" fontId="63" fillId="12" borderId="1" xfId="1" applyNumberFormat="1" applyFont="1" applyFill="1" applyBorder="1" applyAlignment="1" applyProtection="1">
      <alignment horizontal="right" indent="1"/>
      <protection locked="0"/>
    </xf>
    <xf numFmtId="176" fontId="95" fillId="12" borderId="1" xfId="1" applyNumberFormat="1" applyFont="1" applyFill="1" applyBorder="1" applyAlignment="1" applyProtection="1">
      <alignment horizontal="right" indent="1"/>
      <protection locked="0"/>
    </xf>
    <xf numFmtId="176" fontId="134" fillId="12" borderId="1" xfId="1" applyNumberFormat="1" applyFont="1" applyFill="1" applyBorder="1" applyAlignment="1" applyProtection="1">
      <alignment horizontal="right" indent="1"/>
      <protection locked="0"/>
    </xf>
    <xf numFmtId="167" fontId="20" fillId="3" borderId="45" xfId="2" applyNumberFormat="1" applyFont="1" applyFill="1" applyBorder="1" applyAlignment="1" applyProtection="1">
      <alignment horizontal="right" indent="1"/>
      <protection locked="0"/>
    </xf>
    <xf numFmtId="167" fontId="20" fillId="3" borderId="47" xfId="2" applyNumberFormat="1" applyFont="1" applyFill="1" applyBorder="1" applyAlignment="1" applyProtection="1">
      <alignment horizontal="right" indent="1"/>
      <protection locked="0"/>
    </xf>
    <xf numFmtId="176" fontId="63" fillId="13" borderId="1" xfId="1" applyNumberFormat="1" applyFont="1" applyFill="1" applyBorder="1" applyAlignment="1" applyProtection="1">
      <alignment horizontal="right" indent="1"/>
      <protection locked="0"/>
    </xf>
    <xf numFmtId="176" fontId="63" fillId="13" borderId="0" xfId="1" applyNumberFormat="1" applyFont="1" applyFill="1" applyBorder="1" applyAlignment="1" applyProtection="1">
      <alignment horizontal="right" indent="1"/>
      <protection locked="0"/>
    </xf>
    <xf numFmtId="0" fontId="129" fillId="0" borderId="0" xfId="0" applyFont="1" applyFill="1" applyAlignment="1">
      <alignment horizontal="left" vertical="center" indent="2"/>
    </xf>
    <xf numFmtId="0" fontId="3" fillId="0" borderId="0" xfId="0" applyFont="1" applyFill="1" applyAlignment="1">
      <alignment horizontal="left" vertical="center"/>
    </xf>
    <xf numFmtId="0" fontId="0" fillId="0" borderId="0" xfId="0" applyFill="1">
      <alignment horizontal="left" indent="1"/>
    </xf>
    <xf numFmtId="0" fontId="17" fillId="0" borderId="0" xfId="0" applyFont="1" applyFill="1" applyAlignment="1">
      <alignment vertical="center"/>
    </xf>
    <xf numFmtId="0" fontId="0" fillId="3" borderId="0" xfId="0" applyAlignment="1">
      <alignment horizontal="left" vertical="center" indent="1"/>
    </xf>
    <xf numFmtId="0" fontId="146" fillId="3" borderId="0" xfId="0" applyFont="1" applyAlignment="1">
      <alignment horizontal="left" vertical="center"/>
    </xf>
    <xf numFmtId="0" fontId="146" fillId="3" borderId="0" xfId="0" applyFont="1" applyAlignment="1">
      <alignment horizontal="left" vertical="center" indent="14"/>
    </xf>
    <xf numFmtId="0" fontId="147" fillId="3" borderId="0" xfId="0" applyFont="1" applyAlignment="1">
      <alignment horizontal="left" vertical="center"/>
    </xf>
    <xf numFmtId="0" fontId="22" fillId="3" borderId="0" xfId="0" applyFont="1" applyAlignment="1">
      <alignment horizontal="left" vertical="center" indent="1"/>
    </xf>
    <xf numFmtId="0" fontId="22" fillId="3" borderId="0" xfId="0" applyFont="1" applyAlignment="1">
      <alignment vertical="center"/>
    </xf>
    <xf numFmtId="0" fontId="22" fillId="3" borderId="0" xfId="0" applyFont="1" applyAlignment="1">
      <alignment horizontal="left" wrapText="1" indent="1"/>
    </xf>
    <xf numFmtId="0" fontId="148" fillId="3" borderId="0" xfId="0" applyFont="1" applyAlignment="1">
      <alignment vertical="center"/>
    </xf>
    <xf numFmtId="0" fontId="10" fillId="0" borderId="0" xfId="0" applyFont="1" applyFill="1" applyAlignment="1">
      <alignment horizontal="left" vertical="center" indent="1"/>
    </xf>
    <xf numFmtId="0" fontId="110" fillId="3" borderId="0" xfId="0" applyFont="1" applyAlignment="1">
      <alignment horizontal="left" vertical="center" indent="2"/>
    </xf>
    <xf numFmtId="0" fontId="110" fillId="3" borderId="0" xfId="0" applyFont="1" applyAlignment="1">
      <alignment horizontal="left" vertical="center" indent="3"/>
    </xf>
    <xf numFmtId="0" fontId="0" fillId="3" borderId="0" xfId="0" applyAlignment="1">
      <alignment horizontal="left" wrapText="1" indent="1"/>
    </xf>
    <xf numFmtId="0" fontId="108" fillId="3" borderId="0" xfId="0" applyFont="1" applyAlignment="1">
      <alignment horizontal="left" vertical="center" indent="1"/>
    </xf>
    <xf numFmtId="0" fontId="146" fillId="3" borderId="0" xfId="0" applyFont="1" applyAlignment="1">
      <alignment horizontal="left" vertical="center" indent="1"/>
    </xf>
    <xf numFmtId="164" fontId="94" fillId="4" borderId="0" xfId="0" applyNumberFormat="1" applyFont="1" applyFill="1">
      <alignment horizontal="left" indent="1"/>
    </xf>
    <xf numFmtId="0" fontId="17" fillId="4" borderId="0" xfId="0" applyFont="1" applyFill="1">
      <alignment horizontal="left" indent="1"/>
    </xf>
    <xf numFmtId="0" fontId="99" fillId="4" borderId="49" xfId="0" quotePrefix="1" applyFont="1" applyFill="1" applyBorder="1" applyAlignment="1">
      <alignment horizontal="center"/>
    </xf>
    <xf numFmtId="165" fontId="0" fillId="4" borderId="0" xfId="0" quotePrefix="1" applyNumberFormat="1" applyFill="1" applyAlignment="1">
      <alignment horizontal="left"/>
    </xf>
    <xf numFmtId="167" fontId="76" fillId="4" borderId="0" xfId="2" applyNumberFormat="1" applyFont="1" applyFill="1" applyBorder="1" applyAlignment="1">
      <alignment horizontal="center"/>
    </xf>
    <xf numFmtId="0" fontId="10" fillId="4" borderId="0" xfId="0" applyFont="1" applyFill="1" applyAlignment="1"/>
    <xf numFmtId="0" fontId="18" fillId="4" borderId="0" xfId="0" applyFont="1" applyFill="1" applyAlignment="1"/>
    <xf numFmtId="167" fontId="99" fillId="4" borderId="49" xfId="2" applyNumberFormat="1" applyFont="1" applyFill="1" applyBorder="1" applyAlignment="1">
      <alignment horizontal="center"/>
    </xf>
    <xf numFmtId="0" fontId="10" fillId="4" borderId="0" xfId="0" applyFont="1" applyFill="1" applyAlignment="1">
      <alignment horizontal="center"/>
    </xf>
    <xf numFmtId="167" fontId="99" fillId="4" borderId="0" xfId="2" applyNumberFormat="1" applyFont="1" applyFill="1" applyBorder="1" applyAlignment="1">
      <alignment horizontal="center"/>
    </xf>
    <xf numFmtId="167" fontId="82" fillId="4" borderId="0" xfId="2" applyNumberFormat="1" applyFont="1" applyFill="1" applyBorder="1" applyAlignment="1">
      <alignment horizontal="center"/>
    </xf>
    <xf numFmtId="167" fontId="96" fillId="4" borderId="0" xfId="2" applyNumberFormat="1" applyFont="1" applyFill="1" applyBorder="1" applyAlignment="1">
      <alignment horizontal="center"/>
    </xf>
    <xf numFmtId="0" fontId="19" fillId="4" borderId="0" xfId="0" applyFont="1" applyFill="1" applyAlignment="1"/>
    <xf numFmtId="0" fontId="10" fillId="4" borderId="0" xfId="0" applyFont="1" applyFill="1">
      <alignment horizontal="left" indent="1"/>
    </xf>
    <xf numFmtId="0" fontId="115" fillId="4" borderId="0" xfId="0" applyFont="1" applyFill="1">
      <alignment horizontal="left" indent="1"/>
    </xf>
    <xf numFmtId="0" fontId="115" fillId="4" borderId="0" xfId="0" applyFont="1" applyFill="1" applyAlignment="1"/>
    <xf numFmtId="165" fontId="76" fillId="4" borderId="0" xfId="1" applyNumberFormat="1" applyFont="1" applyFill="1" applyBorder="1" applyAlignment="1">
      <alignment horizontal="left" indent="1"/>
    </xf>
    <xf numFmtId="0" fontId="55" fillId="4" borderId="0" xfId="0" applyFont="1" applyFill="1">
      <alignment horizontal="left" indent="1"/>
    </xf>
    <xf numFmtId="0" fontId="54" fillId="4" borderId="0" xfId="0" applyFont="1" applyFill="1">
      <alignment horizontal="left" indent="1"/>
    </xf>
    <xf numFmtId="0" fontId="54" fillId="4" borderId="0" xfId="0" applyFont="1" applyFill="1" applyAlignment="1"/>
    <xf numFmtId="0" fontId="99" fillId="4" borderId="0" xfId="0" applyFont="1" applyFill="1" applyAlignment="1">
      <alignment horizontal="center"/>
    </xf>
    <xf numFmtId="165" fontId="82" fillId="4" borderId="0" xfId="0" quotePrefix="1" applyNumberFormat="1" applyFont="1" applyFill="1" applyAlignment="1">
      <alignment horizontal="left"/>
    </xf>
    <xf numFmtId="0" fontId="18" fillId="4" borderId="0" xfId="0" applyFont="1" applyFill="1">
      <alignment horizontal="left" indent="1"/>
    </xf>
    <xf numFmtId="167" fontId="100" fillId="4" borderId="0" xfId="2" applyNumberFormat="1" applyFont="1" applyFill="1" applyBorder="1" applyAlignment="1">
      <alignment horizontal="center" vertical="center"/>
    </xf>
    <xf numFmtId="0" fontId="10" fillId="4" borderId="0" xfId="0" applyFont="1" applyFill="1" applyAlignment="1">
      <alignment horizontal="center" vertical="center"/>
    </xf>
    <xf numFmtId="0" fontId="17" fillId="4" borderId="0" xfId="0" applyFont="1" applyFill="1" applyAlignment="1">
      <alignment horizontal="center" vertical="center"/>
    </xf>
    <xf numFmtId="0" fontId="94" fillId="4" borderId="0" xfId="0" applyFont="1" applyFill="1" applyAlignment="1">
      <alignment horizontal="center" vertical="center"/>
    </xf>
    <xf numFmtId="167" fontId="99" fillId="4" borderId="49" xfId="2" quotePrefix="1" applyNumberFormat="1" applyFont="1" applyFill="1" applyBorder="1" applyAlignment="1">
      <alignment horizontal="center"/>
    </xf>
    <xf numFmtId="0" fontId="20" fillId="4" borderId="0" xfId="0" applyFont="1" applyFill="1">
      <alignment horizontal="left" indent="1"/>
    </xf>
    <xf numFmtId="167" fontId="99" fillId="4" borderId="0" xfId="2" quotePrefix="1" applyNumberFormat="1" applyFont="1" applyFill="1" applyBorder="1" applyAlignment="1">
      <alignment horizontal="center"/>
    </xf>
    <xf numFmtId="0" fontId="92" fillId="4" borderId="0" xfId="0" applyFont="1" applyFill="1">
      <alignment horizontal="left" indent="1"/>
    </xf>
    <xf numFmtId="0" fontId="22" fillId="4" borderId="0" xfId="0" applyFont="1" applyFill="1" applyAlignment="1">
      <alignment horizontal="left" wrapText="1" indent="1"/>
    </xf>
    <xf numFmtId="0" fontId="22" fillId="4" borderId="0" xfId="0" applyFont="1" applyFill="1">
      <alignment horizontal="left" indent="1"/>
    </xf>
    <xf numFmtId="0" fontId="98" fillId="4" borderId="0" xfId="0" applyFont="1" applyFill="1" applyAlignment="1">
      <alignment horizontal="left" vertical="top" indent="1"/>
    </xf>
    <xf numFmtId="168" fontId="98" fillId="4" borderId="0" xfId="1" applyNumberFormat="1" applyFont="1" applyFill="1" applyBorder="1" applyAlignment="1">
      <alignment horizontal="center"/>
    </xf>
    <xf numFmtId="168" fontId="76" fillId="4" borderId="0" xfId="1" applyNumberFormat="1" applyFont="1" applyFill="1" applyBorder="1" applyAlignment="1">
      <alignment horizontal="left" indent="1"/>
    </xf>
    <xf numFmtId="168" fontId="84" fillId="4" borderId="0" xfId="1" applyNumberFormat="1" applyFont="1" applyFill="1" applyBorder="1" applyAlignment="1">
      <alignment horizontal="left" indent="1"/>
    </xf>
    <xf numFmtId="3" fontId="10" fillId="4" borderId="0" xfId="0" applyNumberFormat="1" applyFont="1" applyFill="1">
      <alignment horizontal="left" indent="1"/>
    </xf>
    <xf numFmtId="168" fontId="76" fillId="4" borderId="53" xfId="1" applyNumberFormat="1" applyFont="1" applyFill="1" applyBorder="1" applyAlignment="1">
      <alignment horizontal="left" indent="1"/>
    </xf>
    <xf numFmtId="168" fontId="83" fillId="4" borderId="0" xfId="1" applyNumberFormat="1" applyFont="1" applyFill="1" applyBorder="1" applyAlignment="1">
      <alignment horizontal="left" indent="1"/>
    </xf>
    <xf numFmtId="0" fontId="145" fillId="4" borderId="0" xfId="0" applyFont="1" applyFill="1">
      <alignment horizontal="left" indent="1"/>
    </xf>
    <xf numFmtId="0" fontId="82" fillId="4" borderId="0" xfId="0" applyFont="1" applyFill="1" applyAlignment="1"/>
    <xf numFmtId="0" fontId="33" fillId="4" borderId="0" xfId="0" applyFont="1" applyFill="1" applyAlignment="1"/>
    <xf numFmtId="167" fontId="99" fillId="4" borderId="49" xfId="2" applyNumberFormat="1" applyFont="1" applyFill="1" applyBorder="1" applyAlignment="1">
      <alignment horizontal="right"/>
    </xf>
    <xf numFmtId="167" fontId="23" fillId="4" borderId="0" xfId="2" applyNumberFormat="1" applyFont="1" applyFill="1" applyBorder="1" applyAlignment="1">
      <alignment horizontal="left" indent="1"/>
    </xf>
    <xf numFmtId="168" fontId="76" fillId="4" borderId="0" xfId="0" applyNumberFormat="1" applyFont="1" applyFill="1" applyAlignment="1">
      <alignment horizontal="left"/>
    </xf>
    <xf numFmtId="0" fontId="83" fillId="4" borderId="0" xfId="0" applyFont="1" applyFill="1" applyAlignment="1"/>
    <xf numFmtId="168" fontId="76" fillId="4" borderId="0" xfId="0" applyNumberFormat="1" applyFont="1" applyFill="1">
      <alignment horizontal="left" indent="1"/>
    </xf>
    <xf numFmtId="0" fontId="84" fillId="4" borderId="0" xfId="0" applyFont="1" applyFill="1" applyAlignment="1"/>
    <xf numFmtId="168" fontId="84" fillId="4" borderId="0" xfId="0" applyNumberFormat="1" applyFont="1" applyFill="1">
      <alignment horizontal="left" indent="1"/>
    </xf>
    <xf numFmtId="168" fontId="76" fillId="4" borderId="0" xfId="0" applyNumberFormat="1" applyFont="1" applyFill="1" applyAlignment="1">
      <alignment horizontal="center"/>
    </xf>
    <xf numFmtId="0" fontId="126" fillId="4" borderId="0" xfId="0" applyFont="1" applyFill="1">
      <alignment horizontal="left" indent="1"/>
    </xf>
    <xf numFmtId="0" fontId="17" fillId="4" borderId="0" xfId="0" applyFont="1" applyFill="1" applyAlignment="1"/>
    <xf numFmtId="0" fontId="76" fillId="4" borderId="53" xfId="0" applyFont="1" applyFill="1" applyBorder="1">
      <alignment horizontal="left" indent="1"/>
    </xf>
    <xf numFmtId="9" fontId="76" fillId="4" borderId="53" xfId="0" applyNumberFormat="1" applyFont="1" applyFill="1" applyBorder="1">
      <alignment horizontal="left" indent="1"/>
    </xf>
    <xf numFmtId="0" fontId="83" fillId="4" borderId="0" xfId="0" applyFont="1" applyFill="1">
      <alignment horizontal="left" indent="1"/>
    </xf>
    <xf numFmtId="0" fontId="93" fillId="4" borderId="0" xfId="0" applyFont="1" applyFill="1" applyAlignment="1"/>
    <xf numFmtId="9" fontId="76" fillId="4" borderId="53" xfId="2" applyFont="1" applyFill="1" applyBorder="1" applyAlignment="1">
      <alignment horizontal="left" indent="1"/>
    </xf>
    <xf numFmtId="0" fontId="98" fillId="4" borderId="0" xfId="0" applyFont="1" applyFill="1" applyAlignment="1"/>
    <xf numFmtId="165" fontId="84" fillId="4" borderId="0" xfId="1" applyNumberFormat="1" applyFont="1" applyFill="1" applyBorder="1" applyAlignment="1"/>
    <xf numFmtId="0" fontId="76" fillId="4" borderId="0" xfId="0" applyFont="1" applyFill="1" applyAlignment="1">
      <alignment horizontal="center"/>
    </xf>
    <xf numFmtId="0" fontId="76" fillId="4" borderId="0" xfId="0" applyFont="1" applyFill="1" applyAlignment="1"/>
    <xf numFmtId="9" fontId="76" fillId="4" borderId="0" xfId="0" applyNumberFormat="1" applyFont="1" applyFill="1" applyAlignment="1">
      <alignment horizontal="center"/>
    </xf>
    <xf numFmtId="0" fontId="22" fillId="4" borderId="0" xfId="0" applyFont="1" applyFill="1" applyAlignment="1">
      <alignment horizontal="center"/>
    </xf>
    <xf numFmtId="0" fontId="22" fillId="4" borderId="0" xfId="0" applyFont="1" applyFill="1" applyAlignment="1"/>
    <xf numFmtId="0" fontId="29" fillId="4" borderId="0" xfId="0" applyFont="1" applyFill="1" applyAlignment="1"/>
    <xf numFmtId="0" fontId="5" fillId="13" borderId="0" xfId="0" applyFont="1" applyFill="1" applyAlignment="1">
      <alignment vertical="center"/>
    </xf>
    <xf numFmtId="164" fontId="99" fillId="4" borderId="0" xfId="0" quotePrefix="1" applyNumberFormat="1" applyFont="1" applyFill="1">
      <alignment horizontal="left" indent="1"/>
    </xf>
    <xf numFmtId="167" fontId="18" fillId="3" borderId="45" xfId="2" applyNumberFormat="1" applyFont="1" applyFill="1" applyBorder="1" applyAlignment="1">
      <alignment horizontal="right"/>
    </xf>
    <xf numFmtId="165" fontId="10" fillId="3" borderId="0" xfId="0" applyNumberFormat="1" applyFont="1" applyAlignment="1">
      <alignment horizontal="left"/>
    </xf>
    <xf numFmtId="167" fontId="18" fillId="3" borderId="0" xfId="2" applyNumberFormat="1" applyFont="1" applyFill="1" applyBorder="1" applyAlignment="1">
      <alignment horizontal="right"/>
    </xf>
    <xf numFmtId="0" fontId="53" fillId="3" borderId="93" xfId="0" applyFont="1" applyBorder="1" applyAlignment="1">
      <alignment horizontal="left" vertical="center" indent="1"/>
    </xf>
    <xf numFmtId="0" fontId="22" fillId="12" borderId="59" xfId="0" applyFont="1" applyFill="1" applyBorder="1">
      <alignment horizontal="left" indent="1"/>
    </xf>
    <xf numFmtId="0" fontId="99" fillId="0" borderId="49" xfId="0" quotePrefix="1" applyFont="1" applyFill="1" applyBorder="1" applyAlignment="1">
      <alignment horizontal="left"/>
    </xf>
    <xf numFmtId="0" fontId="0" fillId="4" borderId="0" xfId="0" applyFill="1">
      <alignment horizontal="left" indent="1"/>
    </xf>
    <xf numFmtId="0" fontId="142" fillId="2" borderId="0" xfId="0" applyFont="1" applyFill="1" applyAlignment="1">
      <alignment horizontal="left" vertical="center"/>
    </xf>
    <xf numFmtId="0" fontId="94" fillId="2" borderId="89" xfId="0" applyFont="1" applyFill="1" applyBorder="1" applyAlignment="1">
      <alignment horizontal="center" vertical="center"/>
    </xf>
    <xf numFmtId="0" fontId="17" fillId="2" borderId="96" xfId="0" applyFont="1" applyFill="1" applyBorder="1" applyAlignment="1">
      <alignment horizontal="center" vertical="center"/>
    </xf>
    <xf numFmtId="0" fontId="17" fillId="2" borderId="97" xfId="0" applyFont="1" applyFill="1" applyBorder="1" applyAlignment="1">
      <alignment horizontal="center" vertical="center"/>
    </xf>
    <xf numFmtId="0" fontId="135" fillId="2" borderId="98" xfId="0" applyFont="1" applyFill="1" applyBorder="1" applyAlignment="1">
      <alignment horizontal="center" vertical="center"/>
    </xf>
    <xf numFmtId="0" fontId="135" fillId="2" borderId="92" xfId="0" applyFont="1" applyFill="1" applyBorder="1" applyAlignment="1">
      <alignment horizontal="center" vertical="center"/>
    </xf>
    <xf numFmtId="0" fontId="17" fillId="2" borderId="99" xfId="0" applyFont="1" applyFill="1" applyBorder="1" applyAlignment="1">
      <alignment horizontal="center" vertical="center"/>
    </xf>
    <xf numFmtId="0" fontId="20" fillId="22" borderId="87" xfId="0" applyFont="1" applyFill="1" applyBorder="1" applyAlignment="1"/>
    <xf numFmtId="0" fontId="138" fillId="22" borderId="88" xfId="0" applyFont="1" applyFill="1" applyBorder="1">
      <alignment horizontal="left" indent="1"/>
    </xf>
    <xf numFmtId="0" fontId="93" fillId="22" borderId="88" xfId="0" applyFont="1" applyFill="1" applyBorder="1">
      <alignment horizontal="left" indent="1"/>
    </xf>
    <xf numFmtId="0" fontId="10" fillId="22" borderId="88" xfId="0" applyFont="1" applyFill="1" applyBorder="1">
      <alignment horizontal="left" indent="1"/>
    </xf>
    <xf numFmtId="167" fontId="63" fillId="2" borderId="0" xfId="2" applyNumberFormat="1" applyFont="1" applyFill="1" applyBorder="1" applyAlignment="1">
      <alignment horizontal="center"/>
    </xf>
    <xf numFmtId="0" fontId="0" fillId="3" borderId="0" xfId="0" applyAlignment="1">
      <alignment horizontal="right" indent="1"/>
    </xf>
    <xf numFmtId="0" fontId="76" fillId="3" borderId="0" xfId="0" quotePrefix="1" applyFont="1" applyAlignment="1">
      <alignment horizontal="left" wrapText="1" indent="1"/>
    </xf>
    <xf numFmtId="0" fontId="33" fillId="22" borderId="84" xfId="0" applyFont="1" applyFill="1" applyBorder="1" applyAlignment="1" applyProtection="1">
      <protection locked="0"/>
    </xf>
    <xf numFmtId="0" fontId="138" fillId="22" borderId="85" xfId="0" applyFont="1" applyFill="1" applyBorder="1" applyProtection="1">
      <alignment horizontal="left" indent="1"/>
      <protection locked="0"/>
    </xf>
    <xf numFmtId="0" fontId="139" fillId="22" borderId="85" xfId="0" applyFont="1" applyFill="1" applyBorder="1" applyProtection="1">
      <alignment horizontal="left" indent="1"/>
      <protection locked="0"/>
    </xf>
    <xf numFmtId="0" fontId="140" fillId="22" borderId="85" xfId="0" applyFont="1" applyFill="1" applyBorder="1" applyProtection="1">
      <alignment horizontal="left" indent="1"/>
      <protection locked="0"/>
    </xf>
    <xf numFmtId="0" fontId="82" fillId="22" borderId="85" xfId="0" applyFont="1" applyFill="1" applyBorder="1" applyProtection="1">
      <alignment horizontal="left" indent="1"/>
      <protection locked="0"/>
    </xf>
    <xf numFmtId="0" fontId="32" fillId="23" borderId="44" xfId="0" applyFont="1" applyFill="1" applyBorder="1" applyAlignment="1" applyProtection="1">
      <protection locked="0"/>
    </xf>
    <xf numFmtId="0" fontId="76" fillId="23" borderId="0" xfId="0" applyFont="1" applyFill="1" applyProtection="1">
      <alignment horizontal="left" indent="1"/>
      <protection locked="0"/>
    </xf>
    <xf numFmtId="0" fontId="32" fillId="23" borderId="44" xfId="0" applyFont="1" applyFill="1" applyBorder="1" applyAlignment="1"/>
    <xf numFmtId="0" fontId="76" fillId="0" borderId="0" xfId="0" applyFont="1" applyFill="1">
      <alignment horizontal="left" indent="1"/>
    </xf>
    <xf numFmtId="0" fontId="76" fillId="24" borderId="0" xfId="0" applyFont="1" applyFill="1" applyProtection="1">
      <alignment horizontal="left" indent="1"/>
      <protection locked="0"/>
    </xf>
    <xf numFmtId="0" fontId="32" fillId="24" borderId="44" xfId="0" applyFont="1" applyFill="1" applyBorder="1" applyAlignment="1"/>
    <xf numFmtId="0" fontId="23" fillId="7" borderId="59" xfId="0" applyFont="1" applyFill="1" applyBorder="1">
      <alignment horizontal="left" indent="1"/>
    </xf>
    <xf numFmtId="0" fontId="97" fillId="3" borderId="1" xfId="0" applyFont="1" applyBorder="1" applyProtection="1">
      <alignment horizontal="left" indent="1"/>
      <protection locked="0"/>
    </xf>
    <xf numFmtId="0" fontId="76" fillId="4" borderId="0" xfId="0" quotePrefix="1" applyFont="1" applyFill="1">
      <alignment horizontal="left" indent="1"/>
    </xf>
    <xf numFmtId="0" fontId="76" fillId="4" borderId="0" xfId="0" quotePrefix="1" applyFont="1" applyFill="1" applyAlignment="1">
      <alignment horizontal="left" vertical="center" indent="1"/>
    </xf>
    <xf numFmtId="0" fontId="76" fillId="23" borderId="0" xfId="0" quotePrefix="1" applyFont="1" applyFill="1" applyProtection="1">
      <alignment horizontal="left" indent="1"/>
      <protection locked="0"/>
    </xf>
    <xf numFmtId="0" fontId="133" fillId="2" borderId="99" xfId="0" applyFont="1" applyFill="1" applyBorder="1" applyAlignment="1">
      <alignment horizontal="center" vertical="center" wrapText="1"/>
    </xf>
    <xf numFmtId="167" fontId="132" fillId="2" borderId="97" xfId="2" applyNumberFormat="1" applyFont="1" applyFill="1" applyBorder="1" applyAlignment="1">
      <alignment horizontal="center" vertical="center" wrapText="1"/>
    </xf>
    <xf numFmtId="0" fontId="142" fillId="2" borderId="91" xfId="0" applyFont="1" applyFill="1" applyBorder="1" applyAlignment="1">
      <alignment horizontal="left" vertical="center"/>
    </xf>
    <xf numFmtId="0" fontId="94" fillId="2" borderId="90" xfId="0" applyFont="1" applyFill="1" applyBorder="1" applyAlignment="1">
      <alignment horizontal="center" vertical="center"/>
    </xf>
    <xf numFmtId="0" fontId="133" fillId="2" borderId="101" xfId="0" applyFont="1" applyFill="1" applyBorder="1" applyAlignment="1">
      <alignment horizontal="center" vertical="center" wrapText="1"/>
    </xf>
    <xf numFmtId="0" fontId="133" fillId="2" borderId="102" xfId="0" applyFont="1" applyFill="1" applyBorder="1" applyAlignment="1">
      <alignment horizontal="center" vertical="center" wrapText="1"/>
    </xf>
    <xf numFmtId="44" fontId="144" fillId="7" borderId="1" xfId="1" applyFont="1" applyFill="1" applyBorder="1" applyAlignment="1" applyProtection="1">
      <alignment horizontal="left" indent="1"/>
      <protection locked="0"/>
    </xf>
    <xf numFmtId="9" fontId="131" fillId="7" borderId="0" xfId="2" applyFont="1" applyFill="1" applyAlignment="1"/>
    <xf numFmtId="167" fontId="20" fillId="12" borderId="47" xfId="2" applyNumberFormat="1" applyFont="1" applyFill="1" applyBorder="1" applyAlignment="1" applyProtection="1">
      <alignment horizontal="right" indent="1"/>
      <protection locked="0"/>
    </xf>
    <xf numFmtId="176" fontId="63" fillId="13" borderId="83" xfId="1" applyNumberFormat="1" applyFont="1" applyFill="1" applyBorder="1" applyAlignment="1" applyProtection="1">
      <alignment horizontal="right" indent="1"/>
      <protection locked="0"/>
    </xf>
    <xf numFmtId="44" fontId="63" fillId="7" borderId="83" xfId="1" applyFont="1" applyFill="1" applyBorder="1" applyAlignment="1" applyProtection="1">
      <alignment horizontal="left" indent="1"/>
      <protection locked="0"/>
    </xf>
    <xf numFmtId="0" fontId="10" fillId="12" borderId="83" xfId="0" applyFont="1" applyFill="1" applyBorder="1" applyProtection="1">
      <alignment horizontal="left" indent="1"/>
      <protection locked="0"/>
    </xf>
    <xf numFmtId="44" fontId="143" fillId="7" borderId="83" xfId="1" applyFont="1" applyFill="1" applyBorder="1" applyAlignment="1" applyProtection="1">
      <alignment horizontal="left" indent="1"/>
      <protection locked="0"/>
    </xf>
    <xf numFmtId="177" fontId="10" fillId="7" borderId="83" xfId="0" applyNumberFormat="1" applyFont="1" applyFill="1" applyBorder="1" applyProtection="1">
      <alignment horizontal="left" indent="1"/>
      <protection locked="0"/>
    </xf>
    <xf numFmtId="0" fontId="5" fillId="12" borderId="83" xfId="0" applyFont="1" applyFill="1" applyBorder="1" applyProtection="1">
      <alignment horizontal="left" indent="1"/>
      <protection locked="0"/>
    </xf>
    <xf numFmtId="0" fontId="10" fillId="3" borderId="83" xfId="0" applyFont="1" applyBorder="1" applyProtection="1">
      <alignment horizontal="left" indent="1"/>
      <protection locked="0"/>
    </xf>
    <xf numFmtId="176" fontId="63" fillId="13" borderId="103" xfId="1" applyNumberFormat="1" applyFont="1" applyFill="1" applyBorder="1" applyAlignment="1" applyProtection="1">
      <alignment horizontal="right" indent="1"/>
      <protection locked="0"/>
    </xf>
    <xf numFmtId="0" fontId="76" fillId="12" borderId="83" xfId="0" applyFont="1" applyFill="1" applyBorder="1">
      <alignment horizontal="left" indent="1"/>
    </xf>
    <xf numFmtId="166" fontId="10" fillId="12" borderId="83" xfId="1" applyNumberFormat="1" applyFont="1" applyFill="1" applyBorder="1" applyAlignment="1" applyProtection="1">
      <alignment horizontal="left" indent="1"/>
      <protection locked="0"/>
    </xf>
    <xf numFmtId="14" fontId="5" fillId="12" borderId="83" xfId="0" applyNumberFormat="1" applyFont="1" applyFill="1" applyBorder="1" applyProtection="1">
      <alignment horizontal="left" indent="1"/>
      <protection locked="0"/>
    </xf>
    <xf numFmtId="0" fontId="133" fillId="2" borderId="104" xfId="0" applyFont="1" applyFill="1" applyBorder="1" applyAlignment="1">
      <alignment horizontal="center" vertical="center" wrapText="1"/>
    </xf>
    <xf numFmtId="176" fontId="63" fillId="12" borderId="83" xfId="1" applyNumberFormat="1" applyFont="1" applyFill="1" applyBorder="1" applyAlignment="1" applyProtection="1">
      <alignment horizontal="right" indent="1"/>
      <protection locked="0"/>
    </xf>
    <xf numFmtId="176" fontId="82" fillId="7" borderId="1" xfId="0" applyNumberFormat="1" applyFont="1" applyFill="1" applyBorder="1" applyProtection="1">
      <alignment horizontal="left" indent="1"/>
      <protection locked="0"/>
    </xf>
    <xf numFmtId="165" fontId="141" fillId="21" borderId="105" xfId="1" applyNumberFormat="1" applyFont="1" applyFill="1" applyBorder="1" applyAlignment="1">
      <alignment horizontal="center" vertical="center"/>
    </xf>
    <xf numFmtId="167" fontId="20" fillId="12" borderId="45" xfId="2" applyNumberFormat="1" applyFont="1" applyFill="1" applyBorder="1" applyAlignment="1" applyProtection="1">
      <alignment horizontal="right" indent="1"/>
      <protection locked="0"/>
    </xf>
    <xf numFmtId="0" fontId="98" fillId="12" borderId="83" xfId="0" applyFont="1" applyFill="1" applyBorder="1" applyProtection="1">
      <alignment horizontal="left" indent="1"/>
      <protection locked="0"/>
    </xf>
    <xf numFmtId="167" fontId="20" fillId="7" borderId="1" xfId="2" applyNumberFormat="1" applyFont="1" applyFill="1" applyBorder="1" applyAlignment="1" applyProtection="1">
      <alignment horizontal="right" indent="1"/>
      <protection locked="0"/>
    </xf>
    <xf numFmtId="167" fontId="131" fillId="7" borderId="45" xfId="2" applyNumberFormat="1" applyFont="1" applyFill="1" applyBorder="1" applyAlignment="1" applyProtection="1">
      <alignment horizontal="left" indent="1"/>
      <protection locked="0"/>
    </xf>
    <xf numFmtId="167" fontId="132" fillId="2" borderId="105" xfId="2" applyNumberFormat="1" applyFont="1" applyFill="1" applyBorder="1" applyAlignment="1">
      <alignment horizontal="center" vertical="center" wrapText="1"/>
    </xf>
    <xf numFmtId="167" fontId="131" fillId="7" borderId="1" xfId="2" applyNumberFormat="1" applyFont="1" applyFill="1" applyBorder="1" applyAlignment="1" applyProtection="1">
      <alignment horizontal="right" indent="1"/>
      <protection locked="0"/>
    </xf>
    <xf numFmtId="0" fontId="76" fillId="4" borderId="0" xfId="0" applyFont="1" applyFill="1" applyAlignment="1">
      <alignment horizontal="left"/>
    </xf>
    <xf numFmtId="0" fontId="36" fillId="3" borderId="0" xfId="0" applyFont="1" applyAlignment="1">
      <alignment horizontal="left" vertical="center"/>
    </xf>
    <xf numFmtId="0" fontId="21" fillId="3" borderId="17" xfId="0" applyFont="1" applyBorder="1" applyAlignment="1">
      <alignment horizontal="left" vertical="center"/>
    </xf>
    <xf numFmtId="0" fontId="2" fillId="13" borderId="0" xfId="0" applyFont="1" applyFill="1" applyAlignment="1">
      <alignment vertical="center"/>
    </xf>
    <xf numFmtId="0" fontId="70" fillId="13" borderId="111" xfId="0" applyFont="1" applyFill="1" applyBorder="1" applyAlignment="1">
      <alignment horizontal="center" vertical="center"/>
    </xf>
    <xf numFmtId="0" fontId="70" fillId="13" borderId="112" xfId="0" applyFont="1" applyFill="1" applyBorder="1" applyAlignment="1">
      <alignment horizontal="center" vertical="center"/>
    </xf>
    <xf numFmtId="0" fontId="75" fillId="13" borderId="9" xfId="0" applyFont="1" applyFill="1" applyBorder="1" applyAlignment="1">
      <alignment horizontal="center" vertical="center"/>
    </xf>
    <xf numFmtId="0" fontId="152" fillId="13" borderId="0" xfId="0" applyFont="1" applyFill="1" applyAlignment="1">
      <alignment horizontal="center" vertical="center"/>
    </xf>
    <xf numFmtId="0" fontId="70" fillId="13" borderId="10" xfId="0" applyFont="1" applyFill="1" applyBorder="1" applyAlignment="1">
      <alignment vertical="center"/>
    </xf>
    <xf numFmtId="0" fontId="75" fillId="13" borderId="7" xfId="0" applyFont="1" applyFill="1" applyBorder="1" applyAlignment="1">
      <alignment horizontal="center" vertical="center"/>
    </xf>
    <xf numFmtId="0" fontId="75" fillId="13" borderId="13" xfId="0" applyFont="1" applyFill="1" applyBorder="1" applyAlignment="1">
      <alignment horizontal="center" vertical="center"/>
    </xf>
    <xf numFmtId="0" fontId="2" fillId="13" borderId="13" xfId="0" applyFont="1" applyFill="1" applyBorder="1" applyAlignment="1">
      <alignment vertical="center"/>
    </xf>
    <xf numFmtId="0" fontId="2" fillId="13" borderId="8" xfId="0" applyFont="1" applyFill="1" applyBorder="1" applyAlignment="1">
      <alignment vertical="center"/>
    </xf>
    <xf numFmtId="0" fontId="149" fillId="3" borderId="0" xfId="0" applyFont="1" applyAlignment="1">
      <alignment horizontal="left"/>
    </xf>
    <xf numFmtId="0" fontId="22" fillId="3" borderId="0" xfId="0" applyFont="1" applyAlignment="1">
      <alignment horizontal="left"/>
    </xf>
    <xf numFmtId="0" fontId="76" fillId="3" borderId="0" xfId="0" applyFont="1" applyAlignment="1">
      <alignment horizontal="left"/>
    </xf>
    <xf numFmtId="0" fontId="0" fillId="3" borderId="0" xfId="0" applyAlignment="1">
      <alignment horizontal="left"/>
    </xf>
    <xf numFmtId="14" fontId="1" fillId="3" borderId="63" xfId="0" applyNumberFormat="1" applyFont="1" applyBorder="1" applyAlignment="1">
      <alignment horizontal="left" wrapText="1" indent="1"/>
    </xf>
    <xf numFmtId="14" fontId="1" fillId="3" borderId="63" xfId="0" applyNumberFormat="1" applyFont="1" applyBorder="1">
      <alignment horizontal="left" indent="1"/>
    </xf>
    <xf numFmtId="44" fontId="133" fillId="2" borderId="99" xfId="0" applyNumberFormat="1" applyFont="1" applyFill="1" applyBorder="1" applyAlignment="1">
      <alignment horizontal="right" wrapText="1"/>
    </xf>
    <xf numFmtId="44" fontId="134" fillId="7" borderId="56" xfId="1" applyFont="1" applyFill="1" applyBorder="1" applyAlignment="1" applyProtection="1">
      <alignment horizontal="right" indent="1"/>
      <protection locked="0"/>
    </xf>
    <xf numFmtId="44" fontId="63" fillId="13" borderId="0" xfId="1" applyFont="1" applyFill="1" applyBorder="1" applyAlignment="1" applyProtection="1">
      <alignment horizontal="right" indent="1"/>
      <protection locked="0"/>
    </xf>
    <xf numFmtId="44" fontId="63" fillId="13" borderId="1" xfId="1" applyFont="1" applyFill="1" applyBorder="1" applyAlignment="1" applyProtection="1">
      <alignment horizontal="right" indent="1"/>
      <protection locked="0"/>
    </xf>
    <xf numFmtId="44" fontId="63" fillId="12" borderId="1" xfId="1" applyFont="1" applyFill="1" applyBorder="1" applyAlignment="1" applyProtection="1">
      <alignment horizontal="right" indent="1"/>
      <protection locked="0"/>
    </xf>
    <xf numFmtId="44" fontId="10" fillId="3" borderId="83" xfId="0" applyNumberFormat="1" applyFont="1" applyBorder="1" applyProtection="1">
      <alignment horizontal="left" indent="1"/>
      <protection locked="0"/>
    </xf>
    <xf numFmtId="44" fontId="63" fillId="3" borderId="1" xfId="1" applyFont="1" applyFill="1" applyBorder="1" applyAlignment="1" applyProtection="1">
      <alignment horizontal="right" indent="1"/>
      <protection locked="0"/>
    </xf>
    <xf numFmtId="44" fontId="63" fillId="7" borderId="1" xfId="1" applyFont="1" applyFill="1" applyBorder="1" applyAlignment="1" applyProtection="1">
      <alignment horizontal="right" indent="1"/>
      <protection locked="0"/>
    </xf>
    <xf numFmtId="44" fontId="144" fillId="7" borderId="106" xfId="1" applyFont="1" applyFill="1" applyBorder="1" applyAlignment="1">
      <alignment horizontal="right" wrapText="1"/>
    </xf>
    <xf numFmtId="44" fontId="54" fillId="7" borderId="1" xfId="1" applyFont="1" applyFill="1" applyBorder="1" applyAlignment="1" applyProtection="1">
      <alignment horizontal="right" indent="1"/>
      <protection locked="0"/>
    </xf>
    <xf numFmtId="44" fontId="76" fillId="3" borderId="1" xfId="0" applyNumberFormat="1" applyFont="1" applyBorder="1" applyProtection="1">
      <alignment horizontal="left" indent="1"/>
      <protection locked="0"/>
    </xf>
    <xf numFmtId="0" fontId="116" fillId="13" borderId="0" xfId="0" applyFont="1" applyFill="1" applyAlignment="1">
      <alignment horizontal="left" vertical="top" wrapText="1" indent="1"/>
    </xf>
    <xf numFmtId="0" fontId="115" fillId="3" borderId="0" xfId="0" applyFont="1" applyAlignment="1">
      <alignment horizontal="center" vertical="center"/>
    </xf>
    <xf numFmtId="0" fontId="115" fillId="3" borderId="82" xfId="0" applyFont="1" applyBorder="1" applyAlignment="1">
      <alignment horizontal="center" vertical="center"/>
    </xf>
    <xf numFmtId="0" fontId="76" fillId="4" borderId="0" xfId="0" applyFont="1" applyFill="1" applyAlignment="1">
      <alignment horizontal="left" vertical="top" wrapText="1"/>
    </xf>
    <xf numFmtId="167" fontId="150" fillId="2" borderId="100" xfId="2" applyNumberFormat="1" applyFont="1" applyFill="1" applyBorder="1" applyAlignment="1">
      <alignment horizontal="center" vertical="center" wrapText="1"/>
    </xf>
    <xf numFmtId="0" fontId="22" fillId="4" borderId="0" xfId="0" applyFont="1" applyFill="1" applyAlignment="1">
      <alignment horizontal="left" wrapText="1" indent="1"/>
    </xf>
    <xf numFmtId="164" fontId="130" fillId="12" borderId="94" xfId="0" applyNumberFormat="1" applyFont="1" applyFill="1" applyBorder="1" applyProtection="1">
      <alignment horizontal="left" indent="1"/>
      <protection locked="0"/>
    </xf>
    <xf numFmtId="164" fontId="130" fillId="12" borderId="95" xfId="0" applyNumberFormat="1" applyFont="1" applyFill="1" applyBorder="1" applyProtection="1">
      <alignment horizontal="left" indent="1"/>
      <protection locked="0"/>
    </xf>
    <xf numFmtId="0" fontId="25" fillId="7" borderId="60" xfId="0" applyFont="1" applyFill="1" applyBorder="1" applyAlignment="1">
      <alignment horizontal="left" vertical="center" indent="1"/>
    </xf>
    <xf numFmtId="0" fontId="25" fillId="7" borderId="61" xfId="0" applyFont="1" applyFill="1" applyBorder="1" applyAlignment="1">
      <alignment horizontal="left" vertical="center" indent="1"/>
    </xf>
    <xf numFmtId="0" fontId="25" fillId="7" borderId="60" xfId="0" applyFont="1" applyFill="1" applyBorder="1">
      <alignment horizontal="left" indent="1"/>
    </xf>
    <xf numFmtId="0" fontId="25" fillId="7" borderId="61" xfId="0" applyFont="1" applyFill="1" applyBorder="1">
      <alignment horizontal="left" indent="1"/>
    </xf>
    <xf numFmtId="0" fontId="25" fillId="7" borderId="62" xfId="0" applyFont="1" applyFill="1" applyBorder="1">
      <alignment horizontal="left" indent="1"/>
    </xf>
    <xf numFmtId="0" fontId="25" fillId="12" borderId="60" xfId="0" applyFont="1" applyFill="1" applyBorder="1">
      <alignment horizontal="left" indent="1"/>
    </xf>
    <xf numFmtId="0" fontId="25" fillId="12" borderId="61" xfId="0" applyFont="1" applyFill="1" applyBorder="1">
      <alignment horizontal="left" indent="1"/>
    </xf>
    <xf numFmtId="0" fontId="25" fillId="12" borderId="62" xfId="0" applyFont="1" applyFill="1" applyBorder="1">
      <alignment horizontal="left" indent="1"/>
    </xf>
    <xf numFmtId="0" fontId="84" fillId="4" borderId="0" xfId="0" applyFont="1" applyFill="1" applyAlignment="1">
      <alignment horizontal="left" wrapText="1" indent="1"/>
    </xf>
    <xf numFmtId="167" fontId="98" fillId="0" borderId="0" xfId="2" applyNumberFormat="1" applyFont="1" applyFill="1" applyBorder="1" applyAlignment="1">
      <alignment horizontal="center" vertical="center" wrapText="1"/>
    </xf>
    <xf numFmtId="0" fontId="18" fillId="3" borderId="0" xfId="0" applyFont="1" applyAlignment="1">
      <alignment horizontal="center"/>
    </xf>
    <xf numFmtId="0" fontId="97" fillId="3" borderId="0" xfId="0" applyFont="1" applyAlignment="1">
      <alignment horizontal="center" wrapText="1"/>
    </xf>
    <xf numFmtId="0" fontId="70" fillId="13" borderId="107" xfId="0" applyFont="1" applyFill="1" applyBorder="1" applyAlignment="1">
      <alignment horizontal="center" vertical="center"/>
    </xf>
    <xf numFmtId="0" fontId="70" fillId="13" borderId="108" xfId="0" applyFont="1" applyFill="1" applyBorder="1" applyAlignment="1">
      <alignment horizontal="center" vertical="center"/>
    </xf>
    <xf numFmtId="0" fontId="70" fillId="13" borderId="109" xfId="0" applyFont="1" applyFill="1" applyBorder="1" applyAlignment="1">
      <alignment horizontal="center" vertical="center"/>
    </xf>
    <xf numFmtId="0" fontId="70" fillId="13" borderId="9" xfId="0" applyFont="1" applyFill="1" applyBorder="1" applyAlignment="1">
      <alignment horizontal="center" vertical="center"/>
    </xf>
    <xf numFmtId="0" fontId="70" fillId="13" borderId="110" xfId="0" applyFont="1" applyFill="1" applyBorder="1" applyAlignment="1">
      <alignment horizontal="center" vertical="center"/>
    </xf>
    <xf numFmtId="170" fontId="36" fillId="7" borderId="24" xfId="0" applyNumberFormat="1" applyFont="1" applyFill="1" applyBorder="1" applyAlignment="1">
      <alignment horizontal="left" vertical="top" wrapText="1" indent="1"/>
    </xf>
    <xf numFmtId="170" fontId="36" fillId="7" borderId="15" xfId="0" applyNumberFormat="1" applyFont="1" applyFill="1" applyBorder="1" applyAlignment="1">
      <alignment horizontal="left" vertical="top" wrapText="1" indent="1"/>
    </xf>
    <xf numFmtId="170" fontId="36" fillId="7" borderId="41" xfId="0" applyNumberFormat="1" applyFont="1" applyFill="1" applyBorder="1" applyAlignment="1">
      <alignment horizontal="left" vertical="top" wrapText="1" indent="1"/>
    </xf>
    <xf numFmtId="170" fontId="36" fillId="7" borderId="25" xfId="0" applyNumberFormat="1" applyFont="1" applyFill="1" applyBorder="1" applyAlignment="1">
      <alignment horizontal="left" vertical="top" wrapText="1" indent="1"/>
    </xf>
    <xf numFmtId="170" fontId="36" fillId="7" borderId="17" xfId="0" applyNumberFormat="1" applyFont="1" applyFill="1" applyBorder="1" applyAlignment="1">
      <alignment horizontal="left" vertical="top" wrapText="1" indent="1"/>
    </xf>
    <xf numFmtId="170" fontId="36" fillId="7" borderId="42" xfId="0" applyNumberFormat="1" applyFont="1" applyFill="1" applyBorder="1" applyAlignment="1">
      <alignment horizontal="left" vertical="top" wrapText="1" indent="1"/>
    </xf>
    <xf numFmtId="0" fontId="21" fillId="4" borderId="33" xfId="0" applyFont="1" applyFill="1" applyBorder="1" applyAlignment="1">
      <alignment horizontal="left" vertical="center" wrapText="1" indent="1"/>
    </xf>
    <xf numFmtId="0" fontId="21" fillId="4" borderId="20" xfId="0" applyFont="1" applyFill="1" applyBorder="1" applyAlignment="1">
      <alignment horizontal="left" vertical="center" wrapText="1" indent="1"/>
    </xf>
    <xf numFmtId="171" fontId="21" fillId="7" borderId="9" xfId="0" applyNumberFormat="1" applyFont="1" applyFill="1" applyBorder="1" applyAlignment="1">
      <alignment vertical="top"/>
    </xf>
    <xf numFmtId="171" fontId="21" fillId="7" borderId="0" xfId="0" applyNumberFormat="1" applyFont="1" applyFill="1" applyAlignment="1">
      <alignment vertical="top"/>
    </xf>
    <xf numFmtId="171" fontId="21" fillId="7" borderId="10" xfId="0" applyNumberFormat="1" applyFont="1" applyFill="1" applyBorder="1" applyAlignment="1">
      <alignment vertical="top"/>
    </xf>
    <xf numFmtId="0" fontId="21" fillId="4" borderId="14" xfId="0" applyFont="1" applyFill="1" applyBorder="1" applyAlignment="1">
      <alignment horizontal="left" vertical="center" wrapText="1" indent="1"/>
    </xf>
    <xf numFmtId="0" fontId="21" fillId="4" borderId="36" xfId="0" applyFont="1" applyFill="1" applyBorder="1" applyAlignment="1">
      <alignment horizontal="left" vertical="top" indent="1"/>
    </xf>
    <xf numFmtId="0" fontId="21" fillId="4" borderId="15" xfId="0" applyFont="1" applyFill="1" applyBorder="1" applyAlignment="1">
      <alignment horizontal="left" vertical="top" indent="1"/>
    </xf>
    <xf numFmtId="0" fontId="21" fillId="4" borderId="27" xfId="0" applyFont="1" applyFill="1" applyBorder="1" applyAlignment="1">
      <alignment horizontal="left" vertical="top" indent="1"/>
    </xf>
    <xf numFmtId="0" fontId="21" fillId="4" borderId="9" xfId="0" applyFont="1" applyFill="1" applyBorder="1" applyAlignment="1">
      <alignment horizontal="left" vertical="top" indent="1"/>
    </xf>
    <xf numFmtId="0" fontId="21" fillId="4" borderId="0" xfId="0" applyFont="1" applyFill="1" applyAlignment="1">
      <alignment horizontal="left" vertical="top" indent="1"/>
    </xf>
    <xf numFmtId="0" fontId="21" fillId="4" borderId="28" xfId="0" applyFont="1" applyFill="1" applyBorder="1" applyAlignment="1">
      <alignment horizontal="left" vertical="top" indent="1"/>
    </xf>
    <xf numFmtId="0" fontId="36" fillId="7" borderId="21" xfId="0" applyFont="1" applyFill="1" applyBorder="1" applyAlignment="1">
      <alignment horizontal="left" vertical="center" indent="1"/>
    </xf>
    <xf numFmtId="0" fontId="36" fillId="7" borderId="22" xfId="0" applyFont="1" applyFill="1" applyBorder="1" applyAlignment="1">
      <alignment horizontal="left" vertical="center" indent="1"/>
    </xf>
    <xf numFmtId="0" fontId="36" fillId="7" borderId="23" xfId="0" applyFont="1" applyFill="1" applyBorder="1" applyAlignment="1">
      <alignment horizontal="left" vertical="center" indent="1"/>
    </xf>
    <xf numFmtId="0" fontId="46" fillId="13" borderId="49" xfId="0" applyFont="1" applyFill="1" applyBorder="1" applyAlignment="1">
      <alignment horizontal="left" vertical="center" wrapText="1" indent="1"/>
    </xf>
    <xf numFmtId="0" fontId="46" fillId="13" borderId="0" xfId="0" applyFont="1" applyFill="1" applyAlignment="1">
      <alignment horizontal="left" vertical="center" wrapText="1" indent="1"/>
    </xf>
    <xf numFmtId="0" fontId="36" fillId="7" borderId="21" xfId="0" applyFont="1" applyFill="1" applyBorder="1" applyAlignment="1">
      <alignment horizontal="left" vertical="center" wrapText="1" indent="1"/>
    </xf>
    <xf numFmtId="0" fontId="36" fillId="7" borderId="22" xfId="0" applyFont="1" applyFill="1" applyBorder="1" applyAlignment="1">
      <alignment horizontal="left" vertical="center" wrapText="1" indent="1"/>
    </xf>
    <xf numFmtId="0" fontId="36" fillId="7" borderId="23" xfId="0" applyFont="1" applyFill="1" applyBorder="1" applyAlignment="1">
      <alignment horizontal="left" vertical="center" wrapText="1" indent="1"/>
    </xf>
    <xf numFmtId="0" fontId="36" fillId="3" borderId="20" xfId="0" applyFont="1" applyBorder="1" applyAlignment="1">
      <alignment horizontal="left" vertical="top" wrapText="1" indent="1"/>
    </xf>
    <xf numFmtId="0" fontId="36" fillId="3" borderId="34" xfId="0" applyFont="1" applyBorder="1" applyAlignment="1">
      <alignment horizontal="left" vertical="top" wrapText="1" indent="1"/>
    </xf>
    <xf numFmtId="14" fontId="40" fillId="3" borderId="7" xfId="0" applyNumberFormat="1" applyFont="1" applyBorder="1" applyAlignment="1">
      <alignment horizontal="left" vertical="center"/>
    </xf>
    <xf numFmtId="14" fontId="40" fillId="3" borderId="13" xfId="0" applyNumberFormat="1" applyFont="1" applyBorder="1" applyAlignment="1">
      <alignment horizontal="left" vertical="center"/>
    </xf>
    <xf numFmtId="0" fontId="64" fillId="9" borderId="36" xfId="0" applyFont="1" applyFill="1" applyBorder="1" applyAlignment="1">
      <alignment horizontal="center" vertical="center" wrapText="1"/>
    </xf>
    <xf numFmtId="0" fontId="64" fillId="9" borderId="15" xfId="0" applyFont="1" applyFill="1" applyBorder="1" applyAlignment="1">
      <alignment horizontal="center" vertical="center" wrapText="1"/>
    </xf>
    <xf numFmtId="0" fontId="64" fillId="9" borderId="22" xfId="0" applyFont="1" applyFill="1" applyBorder="1" applyAlignment="1">
      <alignment horizontal="center" vertical="center" wrapText="1"/>
    </xf>
    <xf numFmtId="0" fontId="64" fillId="9" borderId="32" xfId="0" applyFont="1" applyFill="1" applyBorder="1" applyAlignment="1">
      <alignment horizontal="center" vertical="center" wrapText="1"/>
    </xf>
    <xf numFmtId="0" fontId="64" fillId="9" borderId="31" xfId="0" applyFont="1" applyFill="1" applyBorder="1" applyAlignment="1">
      <alignment horizontal="left" vertical="center" wrapText="1" indent="1"/>
    </xf>
    <xf numFmtId="0" fontId="64" fillId="9" borderId="22" xfId="0" applyFont="1" applyFill="1" applyBorder="1" applyAlignment="1">
      <alignment horizontal="left" vertical="center" wrapText="1" indent="1"/>
    </xf>
    <xf numFmtId="0" fontId="64" fillId="9" borderId="32" xfId="0" applyFont="1" applyFill="1" applyBorder="1" applyAlignment="1">
      <alignment horizontal="left" vertical="center" wrapText="1" indent="1"/>
    </xf>
    <xf numFmtId="0" fontId="21" fillId="4" borderId="21" xfId="0" applyFont="1" applyFill="1" applyBorder="1" applyAlignment="1">
      <alignment horizontal="left" vertical="top" wrapText="1" indent="1"/>
    </xf>
    <xf numFmtId="0" fontId="21" fillId="4" borderId="23" xfId="0" applyFont="1" applyFill="1" applyBorder="1" applyAlignment="1">
      <alignment horizontal="left" vertical="top" wrapText="1" indent="1"/>
    </xf>
    <xf numFmtId="0" fontId="21" fillId="4" borderId="24" xfId="0" applyFont="1" applyFill="1" applyBorder="1" applyAlignment="1">
      <alignment horizontal="left" vertical="top" wrapText="1" indent="1"/>
    </xf>
    <xf numFmtId="0" fontId="21" fillId="4" borderId="16" xfId="0" applyFont="1" applyFill="1" applyBorder="1" applyAlignment="1">
      <alignment horizontal="left" vertical="top" wrapText="1" indent="1"/>
    </xf>
    <xf numFmtId="171" fontId="21" fillId="7" borderId="50" xfId="0" applyNumberFormat="1" applyFont="1" applyFill="1" applyBorder="1" applyAlignment="1">
      <alignment vertical="top"/>
    </xf>
    <xf numFmtId="171" fontId="21" fillId="7" borderId="52" xfId="0" applyNumberFormat="1" applyFont="1" applyFill="1" applyBorder="1" applyAlignment="1">
      <alignment vertical="top"/>
    </xf>
    <xf numFmtId="171" fontId="21" fillId="7" borderId="51" xfId="0" applyNumberFormat="1" applyFont="1" applyFill="1" applyBorder="1" applyAlignment="1">
      <alignment vertical="top"/>
    </xf>
    <xf numFmtId="0" fontId="46" fillId="13" borderId="49" xfId="0" applyFont="1" applyFill="1" applyBorder="1" applyAlignment="1">
      <alignment horizontal="left" vertical="top" wrapText="1" indent="1"/>
    </xf>
    <xf numFmtId="0" fontId="46" fillId="13" borderId="0" xfId="0" applyFont="1" applyFill="1" applyAlignment="1">
      <alignment horizontal="left" vertical="top" wrapText="1" indent="1"/>
    </xf>
    <xf numFmtId="0" fontId="21" fillId="7" borderId="9" xfId="0" applyFont="1" applyFill="1" applyBorder="1" applyAlignment="1">
      <alignment horizontal="left" vertical="top" wrapText="1" indent="1"/>
    </xf>
    <xf numFmtId="0" fontId="21" fillId="7" borderId="0" xfId="0" applyFont="1" applyFill="1" applyAlignment="1">
      <alignment horizontal="left" vertical="top" wrapText="1" indent="1"/>
    </xf>
    <xf numFmtId="0" fontId="21" fillId="7" borderId="10" xfId="0" applyFont="1" applyFill="1" applyBorder="1" applyAlignment="1">
      <alignment horizontal="left" vertical="top" wrapText="1" indent="1"/>
    </xf>
    <xf numFmtId="0" fontId="21" fillId="7" borderId="36" xfId="0" applyFont="1" applyFill="1" applyBorder="1" applyAlignment="1">
      <alignment horizontal="left" vertical="top" wrapText="1" indent="1"/>
    </xf>
    <xf numFmtId="0" fontId="21" fillId="7" borderId="15" xfId="0" applyFont="1" applyFill="1" applyBorder="1" applyAlignment="1">
      <alignment horizontal="left" vertical="top" wrapText="1" indent="1"/>
    </xf>
    <xf numFmtId="0" fontId="21" fillId="7" borderId="41" xfId="0" applyFont="1" applyFill="1" applyBorder="1" applyAlignment="1">
      <alignment horizontal="left" vertical="top" wrapText="1" indent="1"/>
    </xf>
    <xf numFmtId="0" fontId="21" fillId="4" borderId="39" xfId="0" applyFont="1" applyFill="1" applyBorder="1" applyAlignment="1">
      <alignment horizontal="left" vertical="top" wrapText="1" indent="1"/>
    </xf>
    <xf numFmtId="0" fontId="21" fillId="4" borderId="29" xfId="0" applyFont="1" applyFill="1" applyBorder="1" applyAlignment="1">
      <alignment horizontal="left" vertical="top" wrapText="1" indent="1"/>
    </xf>
    <xf numFmtId="0" fontId="21" fillId="4" borderId="36" xfId="0" applyFont="1" applyFill="1" applyBorder="1" applyAlignment="1">
      <alignment horizontal="left" vertical="center" wrapText="1" indent="1"/>
    </xf>
    <xf numFmtId="0" fontId="21" fillId="4" borderId="15" xfId="0" applyFont="1" applyFill="1" applyBorder="1" applyAlignment="1">
      <alignment horizontal="left" vertical="center" wrapText="1" indent="1"/>
    </xf>
    <xf numFmtId="0" fontId="21" fillId="4" borderId="16" xfId="0" applyFont="1" applyFill="1" applyBorder="1" applyAlignment="1">
      <alignment horizontal="left" vertical="center" wrapText="1" indent="1"/>
    </xf>
    <xf numFmtId="0" fontId="21" fillId="4" borderId="9" xfId="0" applyFont="1" applyFill="1" applyBorder="1" applyAlignment="1">
      <alignment horizontal="left" vertical="center" wrapText="1" indent="1"/>
    </xf>
    <xf numFmtId="0" fontId="21" fillId="4" borderId="0" xfId="0" applyFont="1" applyFill="1" applyAlignment="1">
      <alignment horizontal="left" vertical="center" wrapText="1" indent="1"/>
    </xf>
    <xf numFmtId="0" fontId="21" fillId="4" borderId="19" xfId="0" applyFont="1" applyFill="1" applyBorder="1" applyAlignment="1">
      <alignment horizontal="left" vertical="center" wrapText="1" indent="1"/>
    </xf>
    <xf numFmtId="0" fontId="21" fillId="4" borderId="21" xfId="0" applyFont="1" applyFill="1" applyBorder="1" applyAlignment="1">
      <alignment horizontal="left" vertical="center" wrapText="1" indent="1"/>
    </xf>
    <xf numFmtId="0" fontId="21" fillId="4" borderId="23" xfId="0" applyFont="1" applyFill="1" applyBorder="1" applyAlignment="1">
      <alignment horizontal="left" vertical="center" wrapText="1" indent="1"/>
    </xf>
    <xf numFmtId="0" fontId="36" fillId="7" borderId="29" xfId="0" applyFont="1" applyFill="1" applyBorder="1" applyAlignment="1" applyProtection="1">
      <alignment horizontal="left" vertical="center" wrapText="1" indent="1"/>
      <protection locked="0"/>
    </xf>
    <xf numFmtId="0" fontId="36" fillId="7" borderId="40" xfId="0" applyFont="1" applyFill="1" applyBorder="1" applyAlignment="1" applyProtection="1">
      <alignment horizontal="left" vertical="center" wrapText="1" indent="1"/>
      <protection locked="0"/>
    </xf>
    <xf numFmtId="0" fontId="64" fillId="9" borderId="31" xfId="0" applyFont="1" applyFill="1" applyBorder="1" applyAlignment="1">
      <alignment horizontal="center" vertical="center" wrapText="1"/>
    </xf>
    <xf numFmtId="0" fontId="36" fillId="12" borderId="29" xfId="0" quotePrefix="1" applyFont="1" applyFill="1" applyBorder="1" applyAlignment="1">
      <alignment horizontal="left" vertical="top" wrapText="1" indent="1"/>
    </xf>
    <xf numFmtId="0" fontId="36" fillId="12" borderId="29" xfId="0" applyFont="1" applyFill="1" applyBorder="1" applyAlignment="1">
      <alignment horizontal="left" vertical="top" wrapText="1" indent="1"/>
    </xf>
    <xf numFmtId="0" fontId="36" fillId="12" borderId="40" xfId="0" applyFont="1" applyFill="1" applyBorder="1" applyAlignment="1">
      <alignment horizontal="left" vertical="top" wrapText="1" indent="1"/>
    </xf>
    <xf numFmtId="0" fontId="21" fillId="4" borderId="36" xfId="0" applyFont="1" applyFill="1" applyBorder="1" applyAlignment="1">
      <alignment horizontal="left" vertical="top" wrapText="1" indent="1"/>
    </xf>
    <xf numFmtId="0" fontId="21" fillId="4" borderId="15" xfId="0" applyFont="1" applyFill="1" applyBorder="1" applyAlignment="1">
      <alignment horizontal="left" vertical="top" wrapText="1" indent="1"/>
    </xf>
    <xf numFmtId="0" fontId="21" fillId="4" borderId="9" xfId="0" applyFont="1" applyFill="1" applyBorder="1" applyAlignment="1">
      <alignment horizontal="left" vertical="top" wrapText="1" indent="1"/>
    </xf>
    <xf numFmtId="0" fontId="21" fillId="4" borderId="0" xfId="0" applyFont="1" applyFill="1" applyAlignment="1">
      <alignment horizontal="left" vertical="top" wrapText="1" indent="1"/>
    </xf>
    <xf numFmtId="0" fontId="21" fillId="4" borderId="19" xfId="0" applyFont="1" applyFill="1" applyBorder="1" applyAlignment="1">
      <alignment horizontal="left" vertical="top" wrapText="1" indent="1"/>
    </xf>
    <xf numFmtId="0" fontId="68" fillId="7" borderId="21" xfId="3" applyFont="1" applyFill="1" applyBorder="1" applyAlignment="1" applyProtection="1">
      <alignment horizontal="left" vertical="center" wrapText="1" indent="1"/>
      <protection locked="0"/>
    </xf>
    <xf numFmtId="0" fontId="32" fillId="7" borderId="22" xfId="0" applyFont="1" applyFill="1" applyBorder="1" applyAlignment="1" applyProtection="1">
      <alignment horizontal="left" vertical="center" wrapText="1" indent="1"/>
      <protection locked="0"/>
    </xf>
    <xf numFmtId="0" fontId="32" fillId="7" borderId="32" xfId="0" applyFont="1" applyFill="1" applyBorder="1" applyAlignment="1" applyProtection="1">
      <alignment horizontal="left" vertical="center" wrapText="1" indent="1"/>
      <protection locked="0"/>
    </xf>
    <xf numFmtId="0" fontId="36" fillId="7" borderId="24" xfId="0" applyFont="1" applyFill="1" applyBorder="1" applyAlignment="1">
      <alignment horizontal="left" vertical="top" wrapText="1" indent="1"/>
    </xf>
    <xf numFmtId="0" fontId="36" fillId="7" borderId="15" xfId="0" applyFont="1" applyFill="1" applyBorder="1" applyAlignment="1">
      <alignment horizontal="left" vertical="top" wrapText="1" indent="1"/>
    </xf>
    <xf numFmtId="0" fontId="36" fillId="7" borderId="41" xfId="0" applyFont="1" applyFill="1" applyBorder="1" applyAlignment="1">
      <alignment horizontal="left" vertical="top" wrapText="1" indent="1"/>
    </xf>
    <xf numFmtId="0" fontId="63" fillId="6" borderId="5" xfId="0" applyFont="1" applyFill="1" applyBorder="1" applyAlignment="1">
      <alignment horizontal="center" vertical="center" wrapText="1"/>
    </xf>
    <xf numFmtId="0" fontId="63" fillId="6" borderId="12" xfId="0" applyFont="1" applyFill="1" applyBorder="1" applyAlignment="1">
      <alignment horizontal="center" vertical="center" wrapText="1"/>
    </xf>
    <xf numFmtId="0" fontId="63" fillId="6" borderId="6" xfId="0" applyFont="1" applyFill="1" applyBorder="1" applyAlignment="1">
      <alignment horizontal="center" vertical="center" wrapText="1"/>
    </xf>
    <xf numFmtId="0" fontId="63" fillId="6" borderId="9" xfId="0" applyFont="1" applyFill="1" applyBorder="1" applyAlignment="1">
      <alignment horizontal="center" vertical="center" wrapText="1"/>
    </xf>
    <xf numFmtId="0" fontId="63" fillId="6" borderId="0" xfId="0" applyFont="1" applyFill="1" applyAlignment="1">
      <alignment horizontal="center" vertical="center" wrapText="1"/>
    </xf>
    <xf numFmtId="0" fontId="63" fillId="6" borderId="10" xfId="0" applyFont="1" applyFill="1" applyBorder="1" applyAlignment="1">
      <alignment horizontal="center" vertical="center" wrapText="1"/>
    </xf>
    <xf numFmtId="171" fontId="36" fillId="7" borderId="20" xfId="0" applyNumberFormat="1" applyFont="1" applyFill="1" applyBorder="1" applyAlignment="1">
      <alignment horizontal="left" vertical="center" wrapText="1" indent="1"/>
    </xf>
    <xf numFmtId="171" fontId="36" fillId="7" borderId="34" xfId="0" applyNumberFormat="1" applyFont="1" applyFill="1" applyBorder="1" applyAlignment="1">
      <alignment horizontal="left" vertical="center" wrapText="1" indent="1"/>
    </xf>
    <xf numFmtId="0" fontId="21" fillId="4" borderId="35" xfId="0" applyFont="1" applyFill="1" applyBorder="1" applyAlignment="1">
      <alignment horizontal="left" vertical="center" wrapText="1" indent="1"/>
    </xf>
    <xf numFmtId="0" fontId="36" fillId="7" borderId="21" xfId="0" applyFont="1" applyFill="1" applyBorder="1" applyAlignment="1" applyProtection="1">
      <alignment horizontal="left" vertical="center" indent="1"/>
      <protection locked="0"/>
    </xf>
    <xf numFmtId="0" fontId="36" fillId="7" borderId="22" xfId="0" applyFont="1" applyFill="1" applyBorder="1" applyAlignment="1" applyProtection="1">
      <alignment horizontal="left" vertical="center" indent="1"/>
      <protection locked="0"/>
    </xf>
    <xf numFmtId="0" fontId="36" fillId="7" borderId="32" xfId="0" applyFont="1" applyFill="1" applyBorder="1" applyAlignment="1" applyProtection="1">
      <alignment horizontal="left" vertical="center" indent="1"/>
      <protection locked="0"/>
    </xf>
    <xf numFmtId="0" fontId="21" fillId="4" borderId="38" xfId="0" applyFont="1" applyFill="1" applyBorder="1" applyAlignment="1">
      <alignment horizontal="left" vertical="center" wrapText="1" indent="1"/>
    </xf>
    <xf numFmtId="0" fontId="21" fillId="4" borderId="17" xfId="0" applyFont="1" applyFill="1" applyBorder="1" applyAlignment="1">
      <alignment horizontal="left" vertical="center" wrapText="1" indent="1"/>
    </xf>
    <xf numFmtId="0" fontId="21" fillId="4" borderId="18" xfId="0" applyFont="1" applyFill="1" applyBorder="1" applyAlignment="1">
      <alignment horizontal="left" vertical="center" wrapText="1" indent="1"/>
    </xf>
    <xf numFmtId="3" fontId="36" fillId="7" borderId="21" xfId="0" applyNumberFormat="1" applyFont="1" applyFill="1" applyBorder="1" applyAlignment="1" applyProtection="1">
      <alignment horizontal="left" vertical="center" indent="1"/>
      <protection locked="0"/>
    </xf>
    <xf numFmtId="3" fontId="36" fillId="7" borderId="22" xfId="0" applyNumberFormat="1" applyFont="1" applyFill="1" applyBorder="1" applyAlignment="1" applyProtection="1">
      <alignment horizontal="left" vertical="center" indent="1"/>
      <protection locked="0"/>
    </xf>
    <xf numFmtId="3" fontId="36" fillId="7" borderId="32" xfId="0" applyNumberFormat="1" applyFont="1" applyFill="1" applyBorder="1" applyAlignment="1" applyProtection="1">
      <alignment horizontal="left" vertical="center" indent="1"/>
      <protection locked="0"/>
    </xf>
    <xf numFmtId="0" fontId="46" fillId="13" borderId="0" xfId="0" applyFont="1" applyFill="1" applyAlignment="1">
      <alignment horizontal="left" wrapText="1"/>
    </xf>
    <xf numFmtId="0" fontId="22" fillId="13" borderId="0" xfId="0" applyFont="1" applyFill="1" applyAlignment="1">
      <alignment horizontal="left" vertical="center" wrapText="1" indent="1"/>
    </xf>
    <xf numFmtId="0" fontId="24" fillId="13" borderId="0" xfId="0" applyFont="1" applyFill="1" applyAlignment="1">
      <alignment horizontal="left" vertical="center" wrapText="1"/>
    </xf>
    <xf numFmtId="0" fontId="88" fillId="13" borderId="49" xfId="0" applyFont="1" applyFill="1" applyBorder="1" applyAlignment="1">
      <alignment horizontal="center" vertical="center"/>
    </xf>
    <xf numFmtId="0" fontId="88" fillId="13" borderId="0" xfId="0" applyFont="1" applyFill="1" applyAlignment="1">
      <alignment horizontal="center" vertical="center"/>
    </xf>
    <xf numFmtId="0" fontId="23" fillId="13" borderId="0" xfId="0" applyFont="1" applyFill="1" applyAlignment="1">
      <alignment horizontal="left" vertical="center" wrapText="1" indent="1"/>
    </xf>
    <xf numFmtId="0" fontId="0" fillId="3" borderId="0" xfId="0">
      <alignment horizontal="left" indent="1"/>
    </xf>
    <xf numFmtId="0" fontId="0" fillId="3" borderId="79" xfId="0" applyBorder="1">
      <alignment horizontal="left" indent="1"/>
    </xf>
    <xf numFmtId="0" fontId="76" fillId="3" borderId="0" xfId="0" applyFont="1">
      <alignment horizontal="left" indent="1"/>
    </xf>
    <xf numFmtId="0" fontId="76" fillId="3" borderId="79" xfId="0" applyFont="1" applyBorder="1">
      <alignment horizontal="left" indent="1"/>
    </xf>
    <xf numFmtId="0" fontId="76" fillId="16" borderId="0" xfId="0" applyFont="1" applyFill="1">
      <alignment horizontal="left" indent="1"/>
    </xf>
    <xf numFmtId="0" fontId="76" fillId="16" borderId="79" xfId="0" applyFont="1" applyFill="1" applyBorder="1">
      <alignment horizontal="left" indent="1"/>
    </xf>
    <xf numFmtId="0" fontId="93" fillId="16" borderId="78" xfId="0" applyFont="1" applyFill="1" applyBorder="1">
      <alignment horizontal="left" indent="1"/>
    </xf>
    <xf numFmtId="0" fontId="93" fillId="16" borderId="0" xfId="0" applyFont="1" applyFill="1">
      <alignment horizontal="left" indent="1"/>
    </xf>
    <xf numFmtId="0" fontId="93" fillId="16" borderId="79" xfId="0" applyFont="1" applyFill="1" applyBorder="1">
      <alignment horizontal="left" indent="1"/>
    </xf>
    <xf numFmtId="170" fontId="76" fillId="3" borderId="0" xfId="0" applyNumberFormat="1" applyFont="1">
      <alignment horizontal="left" indent="1"/>
    </xf>
    <xf numFmtId="170" fontId="76" fillId="3" borderId="79" xfId="0" applyNumberFormat="1" applyFont="1" applyBorder="1">
      <alignment horizontal="left" indent="1"/>
    </xf>
    <xf numFmtId="0" fontId="93" fillId="3" borderId="0" xfId="0" applyFont="1">
      <alignment horizontal="left" indent="1"/>
    </xf>
    <xf numFmtId="0" fontId="93" fillId="3" borderId="79" xfId="0" applyFont="1" applyBorder="1">
      <alignment horizontal="left" indent="1"/>
    </xf>
    <xf numFmtId="166" fontId="76" fillId="3" borderId="0" xfId="1" applyNumberFormat="1" applyFont="1" applyFill="1" applyBorder="1" applyAlignment="1">
      <alignment horizontal="left" wrapText="1" indent="1"/>
    </xf>
    <xf numFmtId="166" fontId="76" fillId="3" borderId="79" xfId="1" applyNumberFormat="1" applyFont="1" applyFill="1" applyBorder="1" applyAlignment="1">
      <alignment horizontal="left" wrapText="1" indent="1"/>
    </xf>
    <xf numFmtId="166" fontId="76" fillId="3" borderId="0" xfId="0" applyNumberFormat="1" applyFont="1">
      <alignment horizontal="left" indent="1"/>
    </xf>
    <xf numFmtId="166" fontId="76" fillId="3" borderId="79" xfId="0" applyNumberFormat="1" applyFont="1" applyBorder="1">
      <alignment horizontal="left" indent="1"/>
    </xf>
    <xf numFmtId="0" fontId="0" fillId="3" borderId="0" xfId="0" applyAlignment="1">
      <alignment horizontal="left" wrapText="1" indent="1"/>
    </xf>
    <xf numFmtId="0" fontId="46" fillId="13" borderId="0" xfId="0" applyFont="1" applyFill="1" applyAlignment="1">
      <alignment horizontal="left" wrapText="1" indent="1"/>
    </xf>
    <xf numFmtId="0" fontId="27" fillId="19" borderId="70" xfId="0" applyFont="1" applyFill="1" applyBorder="1" applyAlignment="1">
      <alignment horizontal="left" vertical="center" indent="1"/>
    </xf>
    <xf numFmtId="0" fontId="27" fillId="19" borderId="76" xfId="0" applyFont="1" applyFill="1" applyBorder="1" applyAlignment="1">
      <alignment horizontal="left" vertical="center" indent="1"/>
    </xf>
    <xf numFmtId="0" fontId="23" fillId="3" borderId="0" xfId="9" applyFill="1" applyBorder="1" applyAlignment="1">
      <alignment horizontal="left" wrapText="1" indent="1"/>
    </xf>
    <xf numFmtId="0" fontId="23" fillId="3" borderId="77" xfId="9" applyFill="1" applyBorder="1" applyAlignment="1">
      <alignment horizontal="left" wrapText="1" indent="1"/>
    </xf>
    <xf numFmtId="0" fontId="120" fillId="18" borderId="67" xfId="8" applyFill="1" applyBorder="1" applyAlignment="1">
      <alignment horizontal="left" vertical="center" indent="1"/>
    </xf>
    <xf numFmtId="0" fontId="27" fillId="3" borderId="71" xfId="0" applyFont="1" applyBorder="1" applyAlignment="1">
      <alignment horizontal="left" vertical="center" indent="1"/>
    </xf>
    <xf numFmtId="0" fontId="27" fillId="19" borderId="71" xfId="0" applyFont="1" applyFill="1" applyBorder="1" applyAlignment="1">
      <alignment horizontal="left" vertical="center" indent="1"/>
    </xf>
    <xf numFmtId="0" fontId="51" fillId="0" borderId="71" xfId="3" applyBorder="1" applyAlignment="1">
      <alignment horizontal="left" vertical="center" indent="1"/>
    </xf>
    <xf numFmtId="0" fontId="66" fillId="0" borderId="71" xfId="3" applyFont="1" applyBorder="1" applyAlignment="1">
      <alignment horizontal="left" vertical="center" indent="1"/>
    </xf>
    <xf numFmtId="0" fontId="66" fillId="19" borderId="71" xfId="3" applyFont="1" applyFill="1" applyBorder="1" applyAlignment="1">
      <alignment horizontal="left" vertical="center" indent="1"/>
    </xf>
    <xf numFmtId="0" fontId="51" fillId="19" borderId="71" xfId="3" applyFill="1" applyBorder="1" applyAlignment="1">
      <alignment horizontal="left" vertical="center" indent="1"/>
    </xf>
    <xf numFmtId="0" fontId="66" fillId="19" borderId="70" xfId="3" applyFont="1" applyFill="1" applyBorder="1" applyAlignment="1">
      <alignment horizontal="left" vertical="center" indent="1"/>
    </xf>
    <xf numFmtId="0" fontId="120" fillId="18" borderId="68" xfId="8" applyFill="1" applyBorder="1" applyAlignment="1">
      <alignment horizontal="left" vertical="center" indent="1"/>
    </xf>
    <xf numFmtId="0" fontId="27" fillId="3" borderId="72" xfId="0" applyFont="1" applyBorder="1" applyAlignment="1">
      <alignment horizontal="left" vertical="center" indent="1"/>
    </xf>
    <xf numFmtId="0" fontId="27" fillId="19" borderId="72" xfId="0" applyFont="1" applyFill="1" applyBorder="1" applyAlignment="1">
      <alignment horizontal="left" vertical="center" indent="1"/>
    </xf>
    <xf numFmtId="0" fontId="51" fillId="3" borderId="71" xfId="3" applyFill="1" applyBorder="1" applyAlignment="1">
      <alignment horizontal="left" vertical="center" indent="1"/>
    </xf>
    <xf numFmtId="49" fontId="27" fillId="3" borderId="71" xfId="0" applyNumberFormat="1" applyFont="1" applyBorder="1" applyAlignment="1">
      <alignment horizontal="left" vertical="center" indent="1"/>
    </xf>
    <xf numFmtId="49" fontId="27" fillId="3" borderId="72" xfId="0" applyNumberFormat="1" applyFont="1" applyBorder="1" applyAlignment="1">
      <alignment horizontal="left" vertical="center" indent="1"/>
    </xf>
    <xf numFmtId="49" fontId="27" fillId="19" borderId="71" xfId="0" applyNumberFormat="1" applyFont="1" applyFill="1" applyBorder="1" applyAlignment="1">
      <alignment horizontal="left" vertical="center" indent="1"/>
    </xf>
    <xf numFmtId="49" fontId="27" fillId="19" borderId="72" xfId="0" applyNumberFormat="1" applyFont="1" applyFill="1" applyBorder="1" applyAlignment="1">
      <alignment horizontal="left" vertical="center" indent="1"/>
    </xf>
  </cellXfs>
  <cellStyles count="16">
    <cellStyle name="Lien hypertexte" xfId="3" builtinId="8"/>
    <cellStyle name="Milliers" xfId="5" builtinId="3"/>
    <cellStyle name="Milliers 2" xfId="13" xr:uid="{3C339814-1DE4-471C-955A-3D2553F3DDB9}"/>
    <cellStyle name="Milliers 3" xfId="15" xr:uid="{7D2C6F37-A62C-4E4C-A6C4-07CB799E4BF9}"/>
    <cellStyle name="Monétaire" xfId="1" builtinId="4"/>
    <cellStyle name="Monétaire 2" xfId="12" xr:uid="{CDF6D5C4-DADF-4487-B038-C0D117FD68E9}"/>
    <cellStyle name="Monétaire 3" xfId="14" xr:uid="{B624B67F-1D39-49B4-BBD6-C9B8629121D3}"/>
    <cellStyle name="Normal" xfId="0" builtinId="0" customBuiltin="1"/>
    <cellStyle name="Normal_Access" xfId="6" xr:uid="{58314C92-7DED-459B-BCBC-77C3BAE188FB}"/>
    <cellStyle name="Normal_Paramètres" xfId="4" xr:uid="{1FCCE47B-F527-4890-A62C-99525CB2309E}"/>
    <cellStyle name="Pourcentage" xfId="2" builtinId="5"/>
    <cellStyle name="Titre" xfId="10" builtinId="15"/>
    <cellStyle name="Titre 1" xfId="7" builtinId="16" customBuiltin="1"/>
    <cellStyle name="Titre 2" xfId="11" builtinId="17" customBuiltin="1"/>
    <cellStyle name="Titre 3" xfId="8" builtinId="18" customBuiltin="1"/>
    <cellStyle name="Titre 4" xfId="9" builtinId="19" customBuiltin="1"/>
  </cellStyles>
  <dxfs count="28">
    <dxf>
      <font>
        <b/>
        <i val="0"/>
        <color rgb="FFC00000"/>
      </font>
    </dxf>
    <dxf>
      <font>
        <b/>
        <i val="0"/>
        <color theme="3" tint="0.39994506668294322"/>
      </font>
    </dxf>
    <dxf>
      <font>
        <b/>
        <i val="0"/>
        <color theme="3" tint="0.39994506668294322"/>
      </font>
    </dxf>
    <dxf>
      <font>
        <b/>
        <i val="0"/>
        <color theme="3" tint="0.39994506668294322"/>
      </font>
    </dxf>
    <dxf>
      <font>
        <b/>
        <i val="0"/>
        <color theme="3" tint="0.39994506668294322"/>
      </font>
    </dxf>
    <dxf>
      <font>
        <b/>
        <i val="0"/>
        <color theme="3" tint="0.39994506668294322"/>
      </font>
    </dxf>
    <dxf>
      <font>
        <b/>
        <i val="0"/>
        <color theme="3" tint="0.39994506668294322"/>
      </font>
    </dxf>
    <dxf>
      <font>
        <b/>
        <i val="0"/>
        <color theme="3" tint="0.39994506668294322"/>
      </font>
    </dxf>
    <dxf>
      <font>
        <b/>
        <i val="0"/>
        <color theme="3" tint="0.39994506668294322"/>
      </font>
    </dxf>
    <dxf>
      <font>
        <color rgb="FF9C0006"/>
      </font>
      <fill>
        <patternFill>
          <bgColor rgb="FFFFC7CE"/>
        </patternFill>
      </fill>
    </dxf>
    <dxf>
      <font>
        <b/>
        <i val="0"/>
        <color rgb="FFC00000"/>
      </font>
      <fill>
        <patternFill>
          <bgColor theme="5" tint="0.59996337778862885"/>
        </patternFill>
      </fill>
    </dxf>
    <dxf>
      <font>
        <b/>
        <i val="0"/>
        <color rgb="FFC00000"/>
      </font>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3" tint="0.39994506668294322"/>
      </font>
    </dxf>
    <dxf>
      <font>
        <b/>
        <i val="0"/>
        <color theme="3" tint="0.39994506668294322"/>
      </font>
    </dxf>
    <dxf>
      <font>
        <b/>
        <i val="0"/>
        <color theme="3" tint="0.39994506668294322"/>
      </font>
    </dxf>
    <dxf>
      <font>
        <b val="0"/>
        <i val="0"/>
        <strike val="0"/>
        <condense val="0"/>
        <extend val="0"/>
        <outline val="0"/>
        <shadow val="0"/>
        <u val="none"/>
        <vertAlign val="baseline"/>
        <sz val="9"/>
        <color indexed="8"/>
        <name val="Calibri"/>
        <family val="2"/>
        <scheme val="none"/>
      </font>
      <fill>
        <patternFill patternType="none">
          <fgColor indexed="64"/>
          <bgColor auto="1"/>
        </patternFill>
      </fill>
      <alignment horizontal="left" vertical="bottom" textRotation="0" wrapText="1" indent="1" justifyLastLine="0" shrinkToFit="0" readingOrder="0"/>
    </dxf>
    <dxf>
      <font>
        <b val="0"/>
        <i val="0"/>
        <strike val="0"/>
        <condense val="0"/>
        <extend val="0"/>
        <outline val="0"/>
        <shadow val="0"/>
        <u val="none"/>
        <vertAlign val="baseline"/>
        <sz val="9"/>
        <color indexed="8"/>
        <name val="Calibri"/>
        <family val="2"/>
        <scheme val="none"/>
      </font>
      <fill>
        <patternFill patternType="none">
          <fgColor indexed="64"/>
          <bgColor auto="1"/>
        </patternFill>
      </fill>
      <alignment horizontal="left" vertical="bottom" textRotation="0" wrapText="1" indent="1" justifyLastLine="0" shrinkToFit="0" readingOrder="0"/>
    </dxf>
    <dxf>
      <font>
        <b val="0"/>
        <i val="0"/>
        <strike val="0"/>
        <condense val="0"/>
        <extend val="0"/>
        <outline val="0"/>
        <shadow val="0"/>
        <u val="none"/>
        <vertAlign val="baseline"/>
        <sz val="9"/>
        <color indexed="8"/>
        <name val="Calibri"/>
        <family val="2"/>
        <scheme val="none"/>
      </font>
      <fill>
        <patternFill patternType="none">
          <fgColor indexed="64"/>
          <bgColor auto="1"/>
        </patternFill>
      </fill>
      <alignment horizontal="left" vertical="bottom" textRotation="0" wrapText="1" indent="1" justifyLastLine="0" shrinkToFit="0" readingOrder="0"/>
    </dxf>
    <dxf>
      <font>
        <b val="0"/>
        <i val="0"/>
        <strike val="0"/>
        <condense val="0"/>
        <extend val="0"/>
        <outline val="0"/>
        <shadow val="0"/>
        <u val="none"/>
        <vertAlign val="baseline"/>
        <sz val="9"/>
        <color indexed="8"/>
        <name val="Calibri"/>
        <family val="2"/>
        <scheme val="none"/>
      </font>
      <fill>
        <patternFill patternType="none">
          <fgColor indexed="64"/>
          <bgColor auto="1"/>
        </patternFill>
      </fill>
      <alignment horizontal="left" vertical="bottom" textRotation="0" wrapText="1" indent="1" justifyLastLine="0" shrinkToFit="0" readingOrder="0"/>
    </dxf>
    <dxf>
      <font>
        <b val="0"/>
        <i val="0"/>
        <strike val="0"/>
        <condense val="0"/>
        <extend val="0"/>
        <outline val="0"/>
        <shadow val="0"/>
        <u val="none"/>
        <vertAlign val="baseline"/>
        <sz val="9"/>
        <color indexed="8"/>
        <name val="Calibri"/>
        <family val="2"/>
        <scheme val="none"/>
      </font>
      <fill>
        <patternFill patternType="none">
          <fgColor indexed="64"/>
          <bgColor auto="1"/>
        </patternFill>
      </fill>
      <alignment horizontal="left" vertical="bottom" textRotation="0" wrapText="1" indent="1" justifyLastLine="0" shrinkToFit="0" readingOrder="0"/>
    </dxf>
    <dxf>
      <font>
        <b val="0"/>
        <i val="0"/>
        <strike val="0"/>
        <condense val="0"/>
        <extend val="0"/>
        <outline val="0"/>
        <shadow val="0"/>
        <u val="none"/>
        <vertAlign val="baseline"/>
        <sz val="9"/>
        <color indexed="8"/>
        <name val="Calibri"/>
        <family val="2"/>
        <scheme val="none"/>
      </font>
      <fill>
        <patternFill patternType="none">
          <fgColor indexed="64"/>
          <bgColor auto="1"/>
        </patternFill>
      </fill>
      <alignment horizontal="left" vertical="bottom" textRotation="0" wrapText="1" indent="1" justifyLastLine="0" shrinkToFit="0" readingOrder="0"/>
    </dxf>
    <dxf>
      <font>
        <b val="0"/>
        <i val="0"/>
        <strike val="0"/>
        <condense val="0"/>
        <extend val="0"/>
        <outline val="0"/>
        <shadow val="0"/>
        <u val="none"/>
        <vertAlign val="baseline"/>
        <sz val="9"/>
        <color theme="0"/>
        <name val="Calibri"/>
        <family val="2"/>
        <scheme val="none"/>
      </font>
      <fill>
        <patternFill patternType="none">
          <fgColor indexed="64"/>
          <bgColor auto="1"/>
        </patternFill>
      </fill>
      <alignment horizontal="left" vertical="bottom" textRotation="0" wrapText="1" indent="0" justifyLastLine="0" shrinkToFit="0" readingOrder="0"/>
      <border diagonalUp="0" diagonalDown="0" outline="0">
        <left style="thin">
          <color indexed="8"/>
        </left>
        <right style="thin">
          <color indexed="8"/>
        </right>
        <top/>
        <bottom/>
      </border>
    </dxf>
    <dxf>
      <fill>
        <patternFill patternType="solid">
          <fgColor indexed="64"/>
          <bgColor theme="0"/>
        </patternFill>
      </fill>
      <alignment horizontal="general" vertical="center" textRotation="0" wrapText="0" indent="0" justifyLastLine="0" shrinkToFit="0" readingOrder="0"/>
    </dxf>
  </dxfs>
  <tableStyles count="0" defaultTableStyle="TableStyleMedium2" defaultPivotStyle="PivotStyleLight16"/>
  <colors>
    <mruColors>
      <color rgb="FFFFFFCC"/>
      <color rgb="FFC6D9F1"/>
      <color rgb="FFD4E2F4"/>
      <color rgb="FFD3E2F5"/>
      <color rgb="FF293053"/>
      <color rgb="FF000000"/>
      <color rgb="FFE4E4E4"/>
      <color rgb="FFFFFFE1"/>
      <color rgb="FF89B5D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B$32" lockText="1" noThreeD="1"/>
</file>

<file path=xl/ctrlProps/ctrlProp10.xml><?xml version="1.0" encoding="utf-8"?>
<formControlPr xmlns="http://schemas.microsoft.com/office/spreadsheetml/2009/9/main" objectType="CheckBox" fmlaLink="$B$33" lockText="1" noThreeD="1"/>
</file>

<file path=xl/ctrlProps/ctrlProp11.xml><?xml version="1.0" encoding="utf-8"?>
<formControlPr xmlns="http://schemas.microsoft.com/office/spreadsheetml/2009/9/main" objectType="CheckBox" fmlaLink="$B$34" lockText="1" noThreeD="1"/>
</file>

<file path=xl/ctrlProps/ctrlProp12.xml><?xml version="1.0" encoding="utf-8"?>
<formControlPr xmlns="http://schemas.microsoft.com/office/spreadsheetml/2009/9/main" objectType="CheckBox" fmlaLink="$B$35" lockText="1" noThreeD="1"/>
</file>

<file path=xl/ctrlProps/ctrlProp13.xml><?xml version="1.0" encoding="utf-8"?>
<formControlPr xmlns="http://schemas.microsoft.com/office/spreadsheetml/2009/9/main" objectType="CheckBox" fmlaLink="$B$36" lockText="1" noThreeD="1"/>
</file>

<file path=xl/ctrlProps/ctrlProp14.xml><?xml version="1.0" encoding="utf-8"?>
<formControlPr xmlns="http://schemas.microsoft.com/office/spreadsheetml/2009/9/main" objectType="CheckBox" fmlaLink="$B$37" lockText="1" noThreeD="1"/>
</file>

<file path=xl/ctrlProps/ctrlProp15.xml><?xml version="1.0" encoding="utf-8"?>
<formControlPr xmlns="http://schemas.microsoft.com/office/spreadsheetml/2009/9/main" objectType="CheckBox" fmlaLink="$B$40" lockText="1" noThreeD="1"/>
</file>

<file path=xl/ctrlProps/ctrlProp16.xml><?xml version="1.0" encoding="utf-8"?>
<formControlPr xmlns="http://schemas.microsoft.com/office/spreadsheetml/2009/9/main" objectType="CheckBox" fmlaLink="$B$41" lockText="1" noThreeD="1"/>
</file>

<file path=xl/ctrlProps/ctrlProp17.xml><?xml version="1.0" encoding="utf-8"?>
<formControlPr xmlns="http://schemas.microsoft.com/office/spreadsheetml/2009/9/main" objectType="CheckBox" fmlaLink="$B$42" lockText="1" noThreeD="1"/>
</file>

<file path=xl/ctrlProps/ctrlProp18.xml><?xml version="1.0" encoding="utf-8"?>
<formControlPr xmlns="http://schemas.microsoft.com/office/spreadsheetml/2009/9/main" objectType="CheckBox" checked="Checked" fmlaLink="$C$38" lockText="1" noThreeD="1"/>
</file>

<file path=xl/ctrlProps/ctrlProp19.xml><?xml version="1.0" encoding="utf-8"?>
<formControlPr xmlns="http://schemas.microsoft.com/office/spreadsheetml/2009/9/main" objectType="CheckBox" fmlaLink="$C$39" lockText="1" noThreeD="1"/>
</file>

<file path=xl/ctrlProps/ctrlProp2.xml><?xml version="1.0" encoding="utf-8"?>
<formControlPr xmlns="http://schemas.microsoft.com/office/spreadsheetml/2009/9/main" objectType="CheckBox" fmlaLink="$B$33" lockText="1" noThreeD="1"/>
</file>

<file path=xl/ctrlProps/ctrlProp3.xml><?xml version="1.0" encoding="utf-8"?>
<formControlPr xmlns="http://schemas.microsoft.com/office/spreadsheetml/2009/9/main" objectType="CheckBox" fmlaLink="$B$34" lockText="1" noThreeD="1"/>
</file>

<file path=xl/ctrlProps/ctrlProp4.xml><?xml version="1.0" encoding="utf-8"?>
<formControlPr xmlns="http://schemas.microsoft.com/office/spreadsheetml/2009/9/main" objectType="CheckBox" fmlaLink="$B$35" lockText="1" noThreeD="1"/>
</file>

<file path=xl/ctrlProps/ctrlProp5.xml><?xml version="1.0" encoding="utf-8"?>
<formControlPr xmlns="http://schemas.microsoft.com/office/spreadsheetml/2009/9/main" objectType="CheckBox" fmlaLink="$B$40" lockText="1" noThreeD="1"/>
</file>

<file path=xl/ctrlProps/ctrlProp6.xml><?xml version="1.0" encoding="utf-8"?>
<formControlPr xmlns="http://schemas.microsoft.com/office/spreadsheetml/2009/9/main" objectType="CheckBox" fmlaLink="$B$41" lockText="1" noThreeD="1"/>
</file>

<file path=xl/ctrlProps/ctrlProp7.xml><?xml version="1.0" encoding="utf-8"?>
<formControlPr xmlns="http://schemas.microsoft.com/office/spreadsheetml/2009/9/main" objectType="CheckBox" fmlaLink="$B$42" lockText="1" noThreeD="1"/>
</file>

<file path=xl/ctrlProps/ctrlProp8.xml><?xml version="1.0" encoding="utf-8"?>
<formControlPr xmlns="http://schemas.microsoft.com/office/spreadsheetml/2009/9/main" objectType="CheckBox" fmlaLink="$B$31" lockText="1" noThreeD="1"/>
</file>

<file path=xl/ctrlProps/ctrlProp9.xml><?xml version="1.0" encoding="utf-8"?>
<formControlPr xmlns="http://schemas.microsoft.com/office/spreadsheetml/2009/9/main" objectType="CheckBox" fmlaLink="$B$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4</xdr:row>
          <xdr:rowOff>0</xdr:rowOff>
        </xdr:from>
        <xdr:to>
          <xdr:col>2</xdr:col>
          <xdr:colOff>279400</xdr:colOff>
          <xdr:row>5</xdr:row>
          <xdr:rowOff>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xdr:row>
          <xdr:rowOff>12700</xdr:rowOff>
        </xdr:from>
        <xdr:to>
          <xdr:col>2</xdr:col>
          <xdr:colOff>279400</xdr:colOff>
          <xdr:row>6</xdr:row>
          <xdr:rowOff>12700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1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6</xdr:row>
          <xdr:rowOff>12700</xdr:rowOff>
        </xdr:from>
        <xdr:to>
          <xdr:col>2</xdr:col>
          <xdr:colOff>279400</xdr:colOff>
          <xdr:row>7</xdr:row>
          <xdr:rowOff>12700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1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7</xdr:row>
          <xdr:rowOff>31750</xdr:rowOff>
        </xdr:from>
        <xdr:to>
          <xdr:col>2</xdr:col>
          <xdr:colOff>279400</xdr:colOff>
          <xdr:row>8</xdr:row>
          <xdr:rowOff>12700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1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xdr:row>
          <xdr:rowOff>31750</xdr:rowOff>
        </xdr:from>
        <xdr:to>
          <xdr:col>2</xdr:col>
          <xdr:colOff>279400</xdr:colOff>
          <xdr:row>11</xdr:row>
          <xdr:rowOff>203200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1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12700</xdr:rowOff>
        </xdr:from>
        <xdr:to>
          <xdr:col>2</xdr:col>
          <xdr:colOff>279400</xdr:colOff>
          <xdr:row>13</xdr:row>
          <xdr:rowOff>12700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1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13</xdr:row>
          <xdr:rowOff>0</xdr:rowOff>
        </xdr:from>
        <xdr:to>
          <xdr:col>2</xdr:col>
          <xdr:colOff>279400</xdr:colOff>
          <xdr:row>14</xdr:row>
          <xdr:rowOff>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1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xdr:row>
          <xdr:rowOff>0</xdr:rowOff>
        </xdr:from>
        <xdr:to>
          <xdr:col>2</xdr:col>
          <xdr:colOff>279400</xdr:colOff>
          <xdr:row>5</xdr:row>
          <xdr:rowOff>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1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8</xdr:row>
          <xdr:rowOff>0</xdr:rowOff>
        </xdr:from>
        <xdr:to>
          <xdr:col>2</xdr:col>
          <xdr:colOff>279400</xdr:colOff>
          <xdr:row>9</xdr:row>
          <xdr:rowOff>12700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1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32</xdr:row>
          <xdr:rowOff>0</xdr:rowOff>
        </xdr:from>
        <xdr:to>
          <xdr:col>2</xdr:col>
          <xdr:colOff>31750</xdr:colOff>
          <xdr:row>32</xdr:row>
          <xdr:rowOff>184150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12700</xdr:rowOff>
        </xdr:from>
        <xdr:to>
          <xdr:col>2</xdr:col>
          <xdr:colOff>31750</xdr:colOff>
          <xdr:row>34</xdr:row>
          <xdr:rowOff>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3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12700</xdr:rowOff>
        </xdr:from>
        <xdr:to>
          <xdr:col>2</xdr:col>
          <xdr:colOff>31750</xdr:colOff>
          <xdr:row>35</xdr:row>
          <xdr:rowOff>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3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35</xdr:row>
          <xdr:rowOff>31750</xdr:rowOff>
        </xdr:from>
        <xdr:to>
          <xdr:col>2</xdr:col>
          <xdr:colOff>31750</xdr:colOff>
          <xdr:row>36</xdr:row>
          <xdr:rowOff>12700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3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36</xdr:row>
          <xdr:rowOff>31750</xdr:rowOff>
        </xdr:from>
        <xdr:to>
          <xdr:col>2</xdr:col>
          <xdr:colOff>31750</xdr:colOff>
          <xdr:row>37</xdr:row>
          <xdr:rowOff>31750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3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39</xdr:row>
          <xdr:rowOff>31750</xdr:rowOff>
        </xdr:from>
        <xdr:to>
          <xdr:col>2</xdr:col>
          <xdr:colOff>31750</xdr:colOff>
          <xdr:row>40</xdr:row>
          <xdr:rowOff>31750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3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40</xdr:row>
          <xdr:rowOff>31750</xdr:rowOff>
        </xdr:from>
        <xdr:to>
          <xdr:col>2</xdr:col>
          <xdr:colOff>31750</xdr:colOff>
          <xdr:row>41</xdr:row>
          <xdr:rowOff>12700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3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12700</xdr:rowOff>
        </xdr:from>
        <xdr:to>
          <xdr:col>2</xdr:col>
          <xdr:colOff>31750</xdr:colOff>
          <xdr:row>42</xdr:row>
          <xdr:rowOff>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3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31750</xdr:colOff>
          <xdr:row>36</xdr:row>
          <xdr:rowOff>146050</xdr:rowOff>
        </xdr:from>
        <xdr:to>
          <xdr:col>2</xdr:col>
          <xdr:colOff>279400</xdr:colOff>
          <xdr:row>38</xdr:row>
          <xdr:rowOff>50800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5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37</xdr:row>
          <xdr:rowOff>146050</xdr:rowOff>
        </xdr:from>
        <xdr:to>
          <xdr:col>2</xdr:col>
          <xdr:colOff>279400</xdr:colOff>
          <xdr:row>39</xdr:row>
          <xdr:rowOff>69850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5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lebourgeois\AppData\Local\Temp\ed1d01aa-9399-46f1-9dcf-d787c0e9b63c_Dossier%20&#224;%20compl&#233;ter%20par%20les%20bailleurs%20(002).zip.63c\Dossier%20&#224;%20compl&#233;ter%20par%20les%20bailleurs\formulaire._plan_financement._bilan_fsi-v5.xlsx" TargetMode="External"/><Relationship Id="rId1" Type="http://schemas.openxmlformats.org/officeDocument/2006/relationships/externalLinkPath" Target="file:///C:\Users\alebourgeois\AppData\Local\Temp\ed1d01aa-9399-46f1-9dcf-d787c0e9b63c_Dossier%20&#224;%20compl&#233;ter%20par%20les%20bailleurs%20(002).zip.63c\Dossier%20&#224;%20compl&#233;ter%20par%20les%20bailleurs\formulaire._plan_financement._bilan_fsi-v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istratif"/>
      <sheetName val="Pièces à fournir"/>
      <sheetName val="Pièce 4. Plan de financement"/>
      <sheetName val="Pièce 3. Formulaire"/>
      <sheetName val="Pièce 7. Bilan des financements"/>
      <sheetName val="Si inter-organisme"/>
      <sheetName val="Si recrutement"/>
      <sheetName val="Avis CPR (ar)"/>
      <sheetName val="Thèmes éligibles"/>
      <sheetName val="Calendrier"/>
      <sheetName val="Access"/>
      <sheetName val="Taux de financement"/>
      <sheetName val="Publipostage"/>
      <sheetName val="Paramètres"/>
      <sheetName val="Région"/>
    </sheetNames>
    <sheetDataSet>
      <sheetData sheetId="0"/>
      <sheetData sheetId="1"/>
      <sheetData sheetId="2">
        <row r="50">
          <cell r="I50">
            <v>0</v>
          </cell>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Anne" id="{03730290-7155-44BC-8F8F-707051668EA9}" userId="S::a.tixier@foph.fr::368983a2-91e2-4ac1-8d68-c0963d9b75e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62BF2C-E200-4DF1-B425-24AE8FD306A0}" name="Tableau4" displayName="Tableau4" ref="B2:B38" totalsRowShown="0" headerRowDxfId="27" headerRowCellStyle="Titre">
  <autoFilter ref="B2:B38" xr:uid="{2362BF2C-E200-4DF1-B425-24AE8FD306A0}"/>
  <tableColumns count="1">
    <tableColumn id="1" xr3:uid="{F5A401B2-A940-4F06-AF34-4EAFB832FE83}" name="THEMES ELIGIBL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1D4FE11-2D11-480A-92FB-5DF70F1B2BFC}" name="Tableau1" displayName="Tableau1" ref="A1:E97" totalsRowShown="0" headerRowDxfId="26" dataDxfId="25" headerRowCellStyle="Normal_Paramètres" dataCellStyle="Normal_Paramètres">
  <autoFilter ref="A1:E97" xr:uid="{CDD5490F-EA64-461E-B405-BEE60CBACC0A}"/>
  <tableColumns count="5">
    <tableColumn id="1" xr3:uid="{4A8918BD-B326-439D-B787-8843FD850A93}" name="N°_département" dataDxfId="24" dataCellStyle="Normal_Paramètres"/>
    <tableColumn id="2" xr3:uid="{5D65A321-DB12-4271-8D47-D594515D6C8D}" name="Département" dataDxfId="23" dataCellStyle="Normal_Paramètres"/>
    <tableColumn id="3" xr3:uid="{11478DD8-C88B-43DE-831B-CA75083BE8BC}" name="Région" dataDxfId="22" dataCellStyle="Normal_Paramètres"/>
    <tableColumn id="4" xr3:uid="{C87D713C-FB8D-438B-B6EA-B8D4A62D080D}" name="Grande Région" dataDxfId="21" dataCellStyle="Normal_Paramètres"/>
    <tableColumn id="5" xr3:uid="{2B4A909D-725D-4FCF-9A09-FDAA85796512}" name="Gde région" dataDxfId="20" dataCellStyle="Normal_Paramètres"/>
  </tableColumns>
  <tableStyleInfo name="TableStyleMedium8"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0" dT="2020-07-22T15:54:17.10" personId="{03730290-7155-44BC-8F8F-707051668EA9}" id="{2FCCB0B7-A0FC-4F57-B232-7623777B009C}">
    <text>Aide est plafonnée à 5 K€ soit une dépense max de 10K€ si taux 50%, de 12.5€ si taux 40%</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8" Type="http://schemas.openxmlformats.org/officeDocument/2006/relationships/hyperlink" Target="mailto:valerie.peyrelongue@union-habitat.org" TargetMode="External"/><Relationship Id="rId13" Type="http://schemas.openxmlformats.org/officeDocument/2006/relationships/hyperlink" Target="mailto:t.evdokimoff@union-habitat,org" TargetMode="External"/><Relationship Id="rId18" Type="http://schemas.openxmlformats.org/officeDocument/2006/relationships/hyperlink" Target="mailto:s.gournay@arca-hlm.com" TargetMode="External"/><Relationship Id="rId3" Type="http://schemas.openxmlformats.org/officeDocument/2006/relationships/hyperlink" Target="mailto:cecile.simon@hlm.coop" TargetMode="External"/><Relationship Id="rId7" Type="http://schemas.openxmlformats.org/officeDocument/2006/relationships/hyperlink" Target="mailto:b.trutt@arohlm-bretagne.org" TargetMode="External"/><Relationship Id="rId12" Type="http://schemas.openxmlformats.org/officeDocument/2006/relationships/hyperlink" Target="mailto:v.rougeot@aorif.org" TargetMode="External"/><Relationship Id="rId17" Type="http://schemas.openxmlformats.org/officeDocument/2006/relationships/hyperlink" Target="mailto:damet@arhlmpacacorse.com" TargetMode="External"/><Relationship Id="rId2" Type="http://schemas.openxmlformats.org/officeDocument/2006/relationships/hyperlink" Target="mailto:c.cousty@esh.fr" TargetMode="External"/><Relationship Id="rId16" Type="http://schemas.openxmlformats.org/officeDocument/2006/relationships/hyperlink" Target="mailto:g.marquie@aura-hlm.org" TargetMode="External"/><Relationship Id="rId20" Type="http://schemas.openxmlformats.org/officeDocument/2006/relationships/printerSettings" Target="../printerSettings/printerSettings10.bin"/><Relationship Id="rId1" Type="http://schemas.openxmlformats.org/officeDocument/2006/relationships/hyperlink" Target="mailto:p.lebars@foph.fr" TargetMode="External"/><Relationship Id="rId6" Type="http://schemas.openxmlformats.org/officeDocument/2006/relationships/hyperlink" Target="mailto:a.cacaux.arhlmn@union-habitat.org" TargetMode="External"/><Relationship Id="rId11" Type="http://schemas.openxmlformats.org/officeDocument/2006/relationships/hyperlink" Target="mailto:c.degoutin.arelor@union-habitat.org" TargetMode="External"/><Relationship Id="rId5" Type="http://schemas.openxmlformats.org/officeDocument/2006/relationships/hyperlink" Target="mailto:h.lepine@union-habitat.org" TargetMode="External"/><Relationship Id="rId15" Type="http://schemas.openxmlformats.org/officeDocument/2006/relationships/hyperlink" Target="mailto:y.thepot@areal-habitat.org" TargetMode="External"/><Relationship Id="rId10" Type="http://schemas.openxmlformats.org/officeDocument/2006/relationships/hyperlink" Target="mailto:isabelle.soares@union-habitat.org" TargetMode="External"/><Relationship Id="rId19" Type="http://schemas.openxmlformats.org/officeDocument/2006/relationships/hyperlink" Target="mailto:s.kaouch.arhlmce@union-habitat.org" TargetMode="External"/><Relationship Id="rId4" Type="http://schemas.openxmlformats.org/officeDocument/2006/relationships/hyperlink" Target="mailto:catherine.hluszko@union-habitat.org" TargetMode="External"/><Relationship Id="rId9" Type="http://schemas.openxmlformats.org/officeDocument/2006/relationships/hyperlink" Target="mailto:isabelle.soares@union-habitat.org" TargetMode="External"/><Relationship Id="rId14" Type="http://schemas.openxmlformats.org/officeDocument/2006/relationships/hyperlink" Target="mailto:jboucault@ush-pl.org" TargetMode="External"/></Relationships>
</file>

<file path=xl/worksheets/_rels/sheet1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3.vml"/><Relationship Id="rId7" Type="http://schemas.openxmlformats.org/officeDocument/2006/relationships/ctrlProp" Target="../ctrlProps/ctrlProp13.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7E5CA-788E-453E-8B50-04AB67142DAA}">
  <sheetPr codeName="Feuil1">
    <tabColor rgb="FFFFFF99"/>
    <pageSetUpPr fitToPage="1"/>
  </sheetPr>
  <dimension ref="A1:AO53"/>
  <sheetViews>
    <sheetView topLeftCell="A11" zoomScaleNormal="100" workbookViewId="0">
      <selection activeCell="D23" sqref="D23"/>
    </sheetView>
  </sheetViews>
  <sheetFormatPr baseColWidth="10" defaultColWidth="10.81640625" defaultRowHeight="13" x14ac:dyDescent="0.35"/>
  <cols>
    <col min="1" max="1" width="3.54296875" style="23" customWidth="1"/>
    <col min="2" max="2" width="26.81640625" style="23" customWidth="1"/>
    <col min="3" max="3" width="52.453125" style="97" customWidth="1"/>
    <col min="4" max="4" width="21.54296875" style="97" customWidth="1"/>
    <col min="5" max="5" width="3.54296875" style="49" customWidth="1"/>
    <col min="6" max="6" width="15.54296875" style="398" customWidth="1"/>
    <col min="7" max="11" width="10.81640625" style="50" customWidth="1"/>
    <col min="12" max="13" width="10.81640625" style="50"/>
    <col min="14" max="14" width="3.54296875" style="50" customWidth="1"/>
    <col min="15" max="41" width="10.81640625" style="50"/>
    <col min="42" max="16384" width="10.81640625" style="23"/>
  </cols>
  <sheetData>
    <row r="1" spans="2:20" ht="15" customHeight="1" x14ac:dyDescent="0.35">
      <c r="E1" s="90"/>
      <c r="F1" s="397" t="s">
        <v>441</v>
      </c>
      <c r="G1" s="1"/>
      <c r="H1" s="1"/>
      <c r="I1" s="1"/>
      <c r="J1" s="1"/>
      <c r="K1" s="55"/>
      <c r="L1" s="55"/>
      <c r="M1" s="55"/>
    </row>
    <row r="2" spans="2:20" ht="15" customHeight="1" x14ac:dyDescent="0.35"/>
    <row r="3" spans="2:20" ht="15" customHeight="1" x14ac:dyDescent="0.35">
      <c r="B3" s="744" t="s">
        <v>641</v>
      </c>
      <c r="C3" s="744"/>
      <c r="D3" s="745"/>
    </row>
    <row r="4" spans="2:20" ht="24.65" customHeight="1" x14ac:dyDescent="0.35">
      <c r="B4" s="86" t="s">
        <v>431</v>
      </c>
      <c r="C4" s="98"/>
      <c r="F4" s="404" t="s">
        <v>502</v>
      </c>
      <c r="G4" s="64"/>
      <c r="H4" s="64"/>
      <c r="I4" s="64"/>
      <c r="J4" s="64"/>
      <c r="K4" s="64"/>
      <c r="L4" s="64"/>
      <c r="M4" s="64"/>
    </row>
    <row r="5" spans="2:20" ht="18" customHeight="1" x14ac:dyDescent="0.35">
      <c r="B5" t="s">
        <v>540</v>
      </c>
      <c r="C5" s="132" t="str">
        <f>IF(Access!B2=0,"",Access!B2)</f>
        <v/>
      </c>
      <c r="F5" s="743" t="s">
        <v>516</v>
      </c>
      <c r="G5" s="743"/>
      <c r="H5" s="743"/>
      <c r="I5" s="743"/>
      <c r="J5" s="743"/>
      <c r="K5" s="743"/>
      <c r="L5" s="743"/>
      <c r="M5" s="743"/>
    </row>
    <row r="6" spans="2:20" ht="18" customHeight="1" x14ac:dyDescent="0.35">
      <c r="B6" t="s">
        <v>65</v>
      </c>
      <c r="C6" s="99" t="s">
        <v>64</v>
      </c>
      <c r="D6" s="133" t="s">
        <v>442</v>
      </c>
      <c r="F6" s="743"/>
      <c r="G6" s="743"/>
      <c r="H6" s="743"/>
      <c r="I6" s="743"/>
      <c r="J6" s="743"/>
      <c r="K6" s="743"/>
      <c r="L6" s="743"/>
      <c r="M6" s="743"/>
    </row>
    <row r="7" spans="2:20" ht="15" customHeight="1" x14ac:dyDescent="0.35">
      <c r="B7"/>
      <c r="C7" s="98"/>
      <c r="E7" s="65"/>
      <c r="F7" s="404" t="s">
        <v>503</v>
      </c>
      <c r="N7" s="64"/>
      <c r="O7" s="64"/>
      <c r="P7" s="64"/>
      <c r="Q7" s="64"/>
      <c r="R7" s="64"/>
      <c r="S7" s="64"/>
      <c r="T7" s="64"/>
    </row>
    <row r="8" spans="2:20" ht="18" customHeight="1" x14ac:dyDescent="0.35">
      <c r="B8" t="s">
        <v>548</v>
      </c>
      <c r="E8" s="65"/>
      <c r="F8" s="743" t="s">
        <v>517</v>
      </c>
      <c r="G8" s="743"/>
      <c r="H8" s="743"/>
      <c r="I8" s="743"/>
      <c r="J8" s="743"/>
      <c r="K8" s="743"/>
      <c r="L8" s="743"/>
      <c r="M8" s="743"/>
      <c r="N8" s="64"/>
    </row>
    <row r="9" spans="2:20" ht="18" customHeight="1" x14ac:dyDescent="0.35">
      <c r="B9" s="568" t="s">
        <v>632</v>
      </c>
      <c r="C9" s="100" t="s">
        <v>645</v>
      </c>
      <c r="D9" s="133" t="s">
        <v>442</v>
      </c>
      <c r="E9" s="65"/>
      <c r="F9" s="743"/>
      <c r="G9" s="743"/>
      <c r="H9" s="743"/>
      <c r="I9" s="743"/>
      <c r="J9" s="743"/>
      <c r="K9" s="743"/>
      <c r="L9" s="743"/>
      <c r="M9" s="743"/>
      <c r="N9" s="64"/>
    </row>
    <row r="10" spans="2:20" ht="18" customHeight="1" x14ac:dyDescent="0.35">
      <c r="B10" s="564" t="s">
        <v>665</v>
      </c>
      <c r="C10" s="100" t="s">
        <v>645</v>
      </c>
      <c r="D10" s="133" t="s">
        <v>442</v>
      </c>
      <c r="E10" s="65"/>
      <c r="F10" s="743"/>
      <c r="G10" s="743"/>
      <c r="H10" s="743"/>
      <c r="I10" s="743"/>
      <c r="J10" s="743"/>
      <c r="K10" s="743"/>
      <c r="L10" s="743"/>
      <c r="M10" s="743"/>
      <c r="N10" s="64"/>
    </row>
    <row r="11" spans="2:20" ht="18" customHeight="1" x14ac:dyDescent="0.35">
      <c r="B11" s="531"/>
      <c r="C11" s="102" t="str">
        <f>IF(AND(C9="OUI",C10="OUI"),"L'organisme est éligible au FSI","L'organisme n'est pas éligible au FSI")</f>
        <v>L'organisme est éligible au FSI</v>
      </c>
      <c r="E11" s="65"/>
      <c r="F11" s="743"/>
      <c r="G11" s="743"/>
      <c r="H11" s="743"/>
      <c r="I11" s="743"/>
      <c r="J11" s="743"/>
      <c r="K11" s="743"/>
      <c r="L11" s="743"/>
      <c r="M11" s="743"/>
      <c r="N11" s="72"/>
    </row>
    <row r="12" spans="2:20" ht="18" customHeight="1" x14ac:dyDescent="0.35">
      <c r="B12"/>
      <c r="E12" s="65"/>
      <c r="N12" s="72"/>
    </row>
    <row r="13" spans="2:20" ht="18" customHeight="1" x14ac:dyDescent="0.35">
      <c r="B13" t="s">
        <v>429</v>
      </c>
      <c r="C13" s="99" t="str">
        <f>IF(Access!C2=0,"",Access!C2)</f>
        <v/>
      </c>
      <c r="E13" s="65"/>
      <c r="F13" s="403" t="s">
        <v>436</v>
      </c>
      <c r="G13" s="73"/>
      <c r="H13" s="73"/>
      <c r="I13" s="73"/>
      <c r="J13" s="73"/>
      <c r="K13" s="73"/>
      <c r="L13" s="73"/>
      <c r="M13" s="73"/>
      <c r="N13" s="72"/>
    </row>
    <row r="14" spans="2:20" ht="18" customHeight="1" x14ac:dyDescent="0.35">
      <c r="B14" t="s">
        <v>430</v>
      </c>
      <c r="C14" s="99" t="str">
        <f>IF(Access!D2=0,"",Access!D2)</f>
        <v/>
      </c>
      <c r="F14" s="399" t="s">
        <v>398</v>
      </c>
      <c r="G14" s="405" t="s">
        <v>588</v>
      </c>
      <c r="H14" s="73"/>
      <c r="I14" s="73"/>
      <c r="J14" s="73"/>
      <c r="K14" s="73"/>
      <c r="L14" s="74"/>
      <c r="M14" s="74"/>
      <c r="N14" s="72"/>
    </row>
    <row r="15" spans="2:20" ht="18" customHeight="1" x14ac:dyDescent="0.35">
      <c r="B15" t="s">
        <v>43</v>
      </c>
      <c r="C15" s="99" t="str">
        <f>IF(Access!E2=0,"",Access!E2)</f>
        <v/>
      </c>
      <c r="F15" s="400" t="s">
        <v>399</v>
      </c>
      <c r="G15" s="405" t="s">
        <v>589</v>
      </c>
      <c r="H15" s="73"/>
      <c r="I15" s="73"/>
      <c r="J15" s="73"/>
      <c r="K15" s="73"/>
      <c r="L15" s="74"/>
      <c r="M15" s="74"/>
      <c r="N15" s="70"/>
    </row>
    <row r="16" spans="2:20" ht="18" customHeight="1" x14ac:dyDescent="0.35">
      <c r="B16" t="s">
        <v>4</v>
      </c>
      <c r="C16" s="99" t="str">
        <f>IF(Access!F2=0,"",Access!F2)</f>
        <v/>
      </c>
      <c r="F16" s="401"/>
      <c r="G16" s="73"/>
      <c r="H16" s="73"/>
      <c r="I16" s="73"/>
      <c r="J16" s="73"/>
      <c r="K16" s="73"/>
      <c r="L16" s="74"/>
      <c r="M16" s="74"/>
      <c r="N16" s="70"/>
    </row>
    <row r="17" spans="1:13" ht="18" customHeight="1" x14ac:dyDescent="0.35">
      <c r="B17" s="569" t="s">
        <v>629</v>
      </c>
      <c r="C17" s="99"/>
      <c r="F17" s="403" t="s">
        <v>437</v>
      </c>
      <c r="G17" s="73"/>
      <c r="H17" s="73"/>
      <c r="I17" s="73"/>
      <c r="J17" s="73"/>
      <c r="K17" s="73"/>
      <c r="L17" s="75"/>
      <c r="M17" s="75"/>
    </row>
    <row r="18" spans="1:13" ht="15" customHeight="1" x14ac:dyDescent="0.35">
      <c r="B18" t="s">
        <v>427</v>
      </c>
      <c r="C18" s="101" t="str">
        <f>IF(Access!G2=0,"",Access!G2)</f>
        <v/>
      </c>
      <c r="F18" s="743" t="s">
        <v>518</v>
      </c>
      <c r="G18" s="743"/>
      <c r="H18" s="743"/>
      <c r="I18" s="743"/>
      <c r="J18" s="743"/>
      <c r="K18" s="743"/>
      <c r="L18" s="743"/>
      <c r="M18" s="743"/>
    </row>
    <row r="19" spans="1:13" ht="18" customHeight="1" x14ac:dyDescent="0.35">
      <c r="B19" t="s">
        <v>166</v>
      </c>
      <c r="C19" s="101" t="str">
        <f>IF(Access!H2=0,"",Access!H2)</f>
        <v/>
      </c>
      <c r="F19" s="743"/>
      <c r="G19" s="743"/>
      <c r="H19" s="743"/>
      <c r="I19" s="743"/>
      <c r="J19" s="743"/>
      <c r="K19" s="743"/>
      <c r="L19" s="743"/>
      <c r="M19" s="743"/>
    </row>
    <row r="20" spans="1:13" ht="18" customHeight="1" x14ac:dyDescent="0.35">
      <c r="B20"/>
      <c r="C20" s="529"/>
      <c r="F20" s="523"/>
      <c r="G20" s="523"/>
      <c r="H20" s="523"/>
      <c r="I20" s="523"/>
      <c r="J20" s="523"/>
      <c r="K20" s="523"/>
      <c r="L20" s="523"/>
      <c r="M20" s="523"/>
    </row>
    <row r="21" spans="1:13" ht="14.5" x14ac:dyDescent="0.35">
      <c r="B21" s="570" t="s">
        <v>664</v>
      </c>
      <c r="C21" s="99"/>
      <c r="D21" s="532"/>
      <c r="F21" s="402"/>
      <c r="G21" s="145"/>
      <c r="H21" s="145"/>
      <c r="I21" s="145"/>
      <c r="J21" s="74"/>
      <c r="K21" s="74"/>
      <c r="L21" s="73"/>
      <c r="M21" s="73"/>
    </row>
    <row r="22" spans="1:13" ht="18" customHeight="1" x14ac:dyDescent="0.35">
      <c r="B22" t="s">
        <v>662</v>
      </c>
      <c r="C22" s="99"/>
      <c r="D22" s="532"/>
      <c r="G22" s="146" t="s">
        <v>555</v>
      </c>
      <c r="H22" s="147"/>
      <c r="I22" s="147"/>
      <c r="J22" s="75"/>
      <c r="K22" s="75"/>
      <c r="L22" s="73"/>
      <c r="M22" s="73"/>
    </row>
    <row r="23" spans="1:13" ht="18" customHeight="1" x14ac:dyDescent="0.35">
      <c r="A23" s="571"/>
      <c r="C23" s="572"/>
      <c r="G23" s="146"/>
      <c r="H23" s="147"/>
      <c r="I23" s="147"/>
      <c r="J23" s="75"/>
      <c r="K23" s="75"/>
      <c r="L23" s="73"/>
      <c r="M23" s="73"/>
    </row>
    <row r="24" spans="1:13" ht="15" customHeight="1" x14ac:dyDescent="0.35">
      <c r="B24"/>
      <c r="C24" s="98"/>
      <c r="G24" s="146" t="s">
        <v>556</v>
      </c>
      <c r="H24" s="147"/>
      <c r="I24" s="147"/>
      <c r="J24" s="75"/>
      <c r="K24" s="75"/>
      <c r="L24" s="73"/>
      <c r="M24" s="73"/>
    </row>
    <row r="25" spans="1:13" ht="15" customHeight="1" x14ac:dyDescent="0.35">
      <c r="B25" s="726" t="s">
        <v>663</v>
      </c>
      <c r="C25" s="99"/>
      <c r="G25" s="146" t="s">
        <v>506</v>
      </c>
      <c r="H25" s="146"/>
      <c r="I25" s="146"/>
      <c r="J25" s="75"/>
      <c r="K25" s="75"/>
      <c r="L25" s="73"/>
      <c r="M25" s="73"/>
    </row>
    <row r="26" spans="1:13" ht="15" customHeight="1" x14ac:dyDescent="0.35">
      <c r="B26" s="727" t="s">
        <v>433</v>
      </c>
      <c r="C26" s="99"/>
      <c r="G26" s="146" t="s">
        <v>507</v>
      </c>
      <c r="H26" s="146"/>
      <c r="I26" s="146"/>
      <c r="J26" s="75"/>
      <c r="K26" s="75"/>
      <c r="L26" s="73"/>
      <c r="M26" s="73"/>
    </row>
    <row r="27" spans="1:13" ht="15" customHeight="1" x14ac:dyDescent="0.35">
      <c r="B27" s="728" t="s">
        <v>630</v>
      </c>
      <c r="C27" s="99"/>
      <c r="G27" s="146" t="s">
        <v>508</v>
      </c>
      <c r="H27" s="146"/>
      <c r="I27" s="146"/>
      <c r="J27" s="73"/>
      <c r="K27" s="73"/>
      <c r="L27" s="73"/>
      <c r="M27" s="73"/>
    </row>
    <row r="28" spans="1:13" ht="15" customHeight="1" x14ac:dyDescent="0.35">
      <c r="B28" s="729" t="s">
        <v>432</v>
      </c>
      <c r="C28" s="99"/>
      <c r="G28" s="146" t="s">
        <v>509</v>
      </c>
      <c r="H28" s="146"/>
      <c r="I28" s="146"/>
      <c r="J28" s="73"/>
      <c r="K28" s="73"/>
      <c r="L28" s="73"/>
      <c r="M28" s="73"/>
    </row>
    <row r="29" spans="1:13" ht="15" customHeight="1" x14ac:dyDescent="0.35">
      <c r="B29" s="729" t="s">
        <v>433</v>
      </c>
      <c r="C29" s="99"/>
      <c r="G29" s="146" t="s">
        <v>510</v>
      </c>
      <c r="H29" s="146"/>
      <c r="I29" s="146"/>
      <c r="J29" s="73"/>
      <c r="K29" s="73"/>
      <c r="L29" s="73"/>
      <c r="M29" s="73"/>
    </row>
    <row r="30" spans="1:13" ht="14.5" x14ac:dyDescent="0.35">
      <c r="B30"/>
      <c r="G30" s="146" t="s">
        <v>511</v>
      </c>
      <c r="H30" s="146"/>
      <c r="I30" s="146"/>
      <c r="J30" s="73"/>
      <c r="K30" s="73"/>
      <c r="L30" s="73"/>
      <c r="M30" s="73"/>
    </row>
    <row r="31" spans="1:13" ht="14.5" x14ac:dyDescent="0.35">
      <c r="B31" t="s">
        <v>539</v>
      </c>
      <c r="C31" s="126"/>
      <c r="G31" s="146" t="s">
        <v>512</v>
      </c>
      <c r="H31" s="146"/>
      <c r="I31" s="146"/>
      <c r="J31" s="73"/>
      <c r="K31" s="73"/>
      <c r="L31" s="73"/>
      <c r="M31" s="73"/>
    </row>
    <row r="32" spans="1:13" ht="14.5" x14ac:dyDescent="0.35">
      <c r="B32"/>
      <c r="C32" s="256"/>
      <c r="D32" s="133" t="s">
        <v>442</v>
      </c>
      <c r="G32" s="146" t="s">
        <v>513</v>
      </c>
      <c r="H32" s="146"/>
      <c r="I32" s="146"/>
      <c r="J32" s="73"/>
      <c r="K32" s="73"/>
      <c r="L32" s="73"/>
      <c r="M32" s="73"/>
    </row>
    <row r="33" spans="2:13" ht="14.5" x14ac:dyDescent="0.35">
      <c r="B33"/>
      <c r="C33" s="128" t="s">
        <v>661</v>
      </c>
      <c r="G33" s="146" t="s">
        <v>557</v>
      </c>
      <c r="H33" s="146"/>
      <c r="I33" s="146"/>
      <c r="J33" s="73"/>
      <c r="K33" s="73"/>
      <c r="L33" s="73"/>
      <c r="M33" s="73"/>
    </row>
    <row r="34" spans="2:13" ht="14.5" x14ac:dyDescent="0.35">
      <c r="B34"/>
      <c r="C34" s="126"/>
      <c r="G34" s="146" t="s">
        <v>514</v>
      </c>
      <c r="H34" s="146"/>
      <c r="I34" s="146"/>
      <c r="J34" s="73"/>
      <c r="K34" s="73"/>
      <c r="L34" s="73"/>
      <c r="M34" s="73"/>
    </row>
    <row r="35" spans="2:13" ht="14.5" x14ac:dyDescent="0.35">
      <c r="B35" t="s">
        <v>535</v>
      </c>
      <c r="C35" s="126"/>
      <c r="G35" s="146" t="s">
        <v>515</v>
      </c>
      <c r="H35" s="146"/>
      <c r="I35" s="146"/>
      <c r="J35" s="73"/>
      <c r="K35" s="73"/>
      <c r="L35" s="73"/>
      <c r="M35" s="73"/>
    </row>
    <row r="36" spans="2:13" ht="14.5" x14ac:dyDescent="0.35">
      <c r="B36"/>
      <c r="C36" s="127"/>
      <c r="D36" s="134" t="s">
        <v>434</v>
      </c>
      <c r="G36" s="398"/>
      <c r="H36" s="398"/>
      <c r="I36" s="398"/>
      <c r="J36" s="398"/>
      <c r="K36" s="73"/>
      <c r="L36" s="73"/>
      <c r="M36" s="73"/>
    </row>
    <row r="37" spans="2:13" ht="14.5" x14ac:dyDescent="0.35">
      <c r="B37"/>
      <c r="C37" s="126"/>
      <c r="G37" s="398"/>
      <c r="H37" s="398"/>
      <c r="I37" s="398"/>
      <c r="J37" s="398"/>
      <c r="K37" s="73"/>
      <c r="L37" s="73"/>
      <c r="M37" s="73"/>
    </row>
    <row r="38" spans="2:13" ht="14.5" x14ac:dyDescent="0.35">
      <c r="B38" s="406" t="s">
        <v>552</v>
      </c>
      <c r="C38" s="126"/>
      <c r="G38" s="398"/>
      <c r="H38" s="398"/>
      <c r="I38" s="398"/>
      <c r="J38" s="398"/>
    </row>
    <row r="39" spans="2:13" ht="14.5" x14ac:dyDescent="0.35">
      <c r="B39"/>
      <c r="C39" s="129" t="str">
        <f>IF(date=0,"",C41-60)</f>
        <v/>
      </c>
      <c r="G39" s="146"/>
      <c r="H39" s="146"/>
      <c r="I39" s="146"/>
    </row>
    <row r="40" spans="2:13" ht="14.5" x14ac:dyDescent="0.35">
      <c r="B40" s="406" t="s">
        <v>553</v>
      </c>
      <c r="C40" s="130"/>
    </row>
    <row r="41" spans="2:13" ht="14.5" x14ac:dyDescent="0.35">
      <c r="B41"/>
      <c r="C41" s="131" t="str">
        <f>IF(date=0,"",INDEX(Calendrier,MATCH((date+60),Calendrier,-1),1))</f>
        <v/>
      </c>
    </row>
    <row r="42" spans="2:13" ht="14.5" x14ac:dyDescent="0.35">
      <c r="B42"/>
      <c r="C42" s="126"/>
    </row>
    <row r="43" spans="2:13" ht="14.5" x14ac:dyDescent="0.35">
      <c r="B43"/>
      <c r="C43" s="126"/>
    </row>
    <row r="44" spans="2:13" ht="14.5" x14ac:dyDescent="0.35">
      <c r="B44" t="s">
        <v>631</v>
      </c>
      <c r="C44" s="126"/>
    </row>
    <row r="45" spans="2:13" ht="14.5" x14ac:dyDescent="0.35">
      <c r="B45" s="524"/>
      <c r="C45" s="126"/>
    </row>
    <row r="46" spans="2:13" ht="14.5" x14ac:dyDescent="0.35">
      <c r="B46"/>
      <c r="C46" s="126"/>
    </row>
    <row r="47" spans="2:13" ht="14.5" x14ac:dyDescent="0.35">
      <c r="B47"/>
      <c r="C47" s="126"/>
    </row>
    <row r="48" spans="2:13" ht="14.5" x14ac:dyDescent="0.35">
      <c r="B48"/>
      <c r="C48" s="126"/>
    </row>
    <row r="49" spans="2:3" ht="14.5" x14ac:dyDescent="0.35">
      <c r="B49" s="125"/>
      <c r="C49" s="126"/>
    </row>
    <row r="50" spans="2:3" ht="14.5" x14ac:dyDescent="0.35">
      <c r="B50" s="125"/>
      <c r="C50" s="126"/>
    </row>
    <row r="51" spans="2:3" ht="14.5" x14ac:dyDescent="0.35">
      <c r="B51" s="125"/>
      <c r="C51" s="126"/>
    </row>
    <row r="52" spans="2:3" ht="14.5" x14ac:dyDescent="0.35">
      <c r="B52" s="125"/>
      <c r="C52" s="126"/>
    </row>
    <row r="53" spans="2:3" ht="14.5" x14ac:dyDescent="0.35">
      <c r="B53" s="125"/>
      <c r="C53" s="126"/>
    </row>
  </sheetData>
  <mergeCells count="4">
    <mergeCell ref="F5:M6"/>
    <mergeCell ref="F8:M11"/>
    <mergeCell ref="F18:M19"/>
    <mergeCell ref="B3:D3"/>
  </mergeCells>
  <dataValidations count="2">
    <dataValidation allowBlank="1" showInputMessage="1" showErrorMessage="1" prompt="Dans le cas dans d'un projet interorganisme, il est nécessaire de désigner un PORTEUR de projet" sqref="C5" xr:uid="{1C2604CC-53E0-4FCB-9953-A526135B38C3}"/>
    <dataValidation type="list" allowBlank="1" showInputMessage="1" showErrorMessage="1" sqref="C9:C10" xr:uid="{0D7625FC-8B99-4197-B0F9-C198D91C23DD}">
      <formula1>"OUI,NON"</formula1>
    </dataValidation>
  </dataValidations>
  <pageMargins left="0.39370078740157483" right="0.39370078740157483" top="0.39370078740157483" bottom="0.39370078740157483" header="0.31496062992125984" footer="0.31496062992125984"/>
  <pageSetup paperSize="9" scale="91"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Title="Dérouler le menu" xr:uid="{AB1C29AF-E0B9-4684-B11C-A0CE1E886A28}">
          <x14:formula1>
            <xm:f>Paramètres!$B$15:$B$20</xm:f>
          </x14:formula1>
          <xm:sqref>C6</xm:sqref>
        </x14:dataValidation>
        <x14:dataValidation type="list" allowBlank="1" showInputMessage="1" showErrorMessage="1" xr:uid="{C26964B0-DFF8-4AA2-96B3-1892FC432283}">
          <x14:formula1>
            <xm:f>'Thèmes éligibles'!$B$6:$B$38</xm:f>
          </x14:formula1>
          <xm:sqref>C32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B8C2-2A2C-43D9-BC0D-B255FF01BC70}">
  <sheetPr codeName="Feuil11"/>
  <dimension ref="B2:H8"/>
  <sheetViews>
    <sheetView workbookViewId="0">
      <selection activeCell="B4" sqref="B4:D8"/>
    </sheetView>
  </sheetViews>
  <sheetFormatPr baseColWidth="10" defaultColWidth="10.81640625" defaultRowHeight="14.5" x14ac:dyDescent="0.35"/>
  <cols>
    <col min="1" max="1" width="10.81640625" style="4"/>
    <col min="2" max="2" width="21.1796875" style="4" customWidth="1"/>
    <col min="3" max="4" width="11.81640625" style="4" customWidth="1"/>
    <col min="5" max="6" width="10.81640625" style="4"/>
    <col min="7" max="7" width="6.54296875" style="4" customWidth="1"/>
    <col min="8" max="16384" width="10.81640625" style="4"/>
  </cols>
  <sheetData>
    <row r="2" spans="2:8" x14ac:dyDescent="0.35">
      <c r="B2" s="3" t="s">
        <v>31</v>
      </c>
    </row>
    <row r="4" spans="2:8" x14ac:dyDescent="0.35">
      <c r="C4" s="4" t="s">
        <v>25</v>
      </c>
      <c r="D4" s="4" t="s">
        <v>26</v>
      </c>
    </row>
    <row r="5" spans="2:8" x14ac:dyDescent="0.35">
      <c r="B5" s="4" t="s">
        <v>27</v>
      </c>
      <c r="C5" s="5">
        <v>0.5</v>
      </c>
      <c r="D5" s="5">
        <v>0.5</v>
      </c>
    </row>
    <row r="6" spans="2:8" x14ac:dyDescent="0.35">
      <c r="B6" s="4" t="s">
        <v>28</v>
      </c>
      <c r="C6" s="5">
        <v>0.5</v>
      </c>
      <c r="D6" s="5">
        <v>0.4</v>
      </c>
      <c r="G6" s="9"/>
      <c r="H6" s="8"/>
    </row>
    <row r="7" spans="2:8" x14ac:dyDescent="0.35">
      <c r="B7" s="4" t="s">
        <v>29</v>
      </c>
      <c r="C7" s="6">
        <v>250000</v>
      </c>
      <c r="D7" s="6">
        <v>150000</v>
      </c>
    </row>
    <row r="8" spans="2:8" x14ac:dyDescent="0.35">
      <c r="B8" s="4" t="s">
        <v>30</v>
      </c>
      <c r="C8" s="6">
        <v>200000</v>
      </c>
      <c r="D8" s="6">
        <v>100000</v>
      </c>
    </row>
  </sheetData>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81988-DF19-42A5-B739-9E4FBCF5F0E7}">
  <sheetPr codeName="Feuil12"/>
  <dimension ref="A1:X8"/>
  <sheetViews>
    <sheetView topLeftCell="J1" workbookViewId="0">
      <selection activeCell="Q1" sqref="Q1"/>
    </sheetView>
  </sheetViews>
  <sheetFormatPr baseColWidth="10" defaultColWidth="10.81640625" defaultRowHeight="12" x14ac:dyDescent="0.35"/>
  <cols>
    <col min="1" max="26" width="12.54296875" style="12" customWidth="1"/>
    <col min="27" max="16384" width="10.81640625" style="12"/>
  </cols>
  <sheetData>
    <row r="1" spans="1:24" s="17" customFormat="1" ht="24" x14ac:dyDescent="0.35">
      <c r="A1" s="17" t="s">
        <v>72</v>
      </c>
      <c r="B1" s="17" t="s">
        <v>65</v>
      </c>
      <c r="C1" s="17" t="s">
        <v>66</v>
      </c>
      <c r="D1" s="17" t="s">
        <v>73</v>
      </c>
      <c r="E1" s="17" t="s">
        <v>67</v>
      </c>
      <c r="F1" s="17" t="s">
        <v>68</v>
      </c>
      <c r="G1" s="17" t="s">
        <v>69</v>
      </c>
      <c r="H1" s="17" t="s">
        <v>146</v>
      </c>
      <c r="I1" s="17" t="s">
        <v>70</v>
      </c>
      <c r="J1" s="17" t="s">
        <v>71</v>
      </c>
      <c r="K1" s="17" t="s">
        <v>147</v>
      </c>
      <c r="L1" s="17" t="s">
        <v>148</v>
      </c>
      <c r="M1" s="17" t="s">
        <v>149</v>
      </c>
      <c r="N1" s="17" t="s">
        <v>150</v>
      </c>
      <c r="O1" s="17" t="s">
        <v>159</v>
      </c>
      <c r="P1" s="17" t="s">
        <v>74</v>
      </c>
      <c r="Q1" s="17" t="s">
        <v>40</v>
      </c>
      <c r="R1" s="17" t="s">
        <v>407</v>
      </c>
      <c r="S1" s="17" t="s">
        <v>176</v>
      </c>
      <c r="T1" s="17" t="s">
        <v>49</v>
      </c>
      <c r="U1" s="17" t="s">
        <v>427</v>
      </c>
      <c r="V1" s="17" t="s">
        <v>43</v>
      </c>
      <c r="W1" s="17" t="s">
        <v>4</v>
      </c>
      <c r="X1" s="17" t="s">
        <v>428</v>
      </c>
    </row>
    <row r="2" spans="1:24" s="19" customFormat="1" ht="36" x14ac:dyDescent="0.35">
      <c r="A2" s="19" t="str">
        <f>porteur</f>
        <v/>
      </c>
      <c r="B2" s="19" t="str">
        <f>Famille</f>
        <v>Dérouler le menu</v>
      </c>
      <c r="C2" s="20">
        <f>C4</f>
        <v>0</v>
      </c>
      <c r="D2" s="19">
        <f>Projet</f>
        <v>0</v>
      </c>
      <c r="E2" s="19" t="str">
        <f>IF(inter="OUI","Il s'agit d'un projet interorganisme.","Il ne s'agit pas d'un projet interorganisme")</f>
        <v>Il s'agit d'un projet interorganisme.</v>
      </c>
      <c r="F2" s="20" t="str">
        <f>F4</f>
        <v>d'innovation</v>
      </c>
      <c r="G2" s="21" t="e">
        <f>bilan</f>
        <v>#REF!</v>
      </c>
      <c r="H2" s="21">
        <f>dépense</f>
        <v>460</v>
      </c>
      <c r="I2" s="20">
        <f>I4</f>
        <v>60</v>
      </c>
      <c r="J2" s="22">
        <f>aide</f>
        <v>276</v>
      </c>
      <c r="K2" s="22">
        <f>durée</f>
        <v>0</v>
      </c>
      <c r="L2" s="20" t="str">
        <f>L4</f>
        <v>AR Hauts de France</v>
      </c>
      <c r="M2" s="19" t="str">
        <f>Formulaire!E25</f>
        <v>521 avenue du Président Hoover</v>
      </c>
      <c r="N2" s="20" t="str">
        <f>N4</f>
        <v>59000 Lille</v>
      </c>
      <c r="O2" s="20">
        <f>O4</f>
        <v>328160770</v>
      </c>
      <c r="P2" s="19" t="str">
        <f>Formulaire!E7</f>
        <v xml:space="preserve"> </v>
      </c>
      <c r="Q2" s="19">
        <f>Resp</f>
        <v>0</v>
      </c>
      <c r="R2" s="19">
        <f>description</f>
        <v>0</v>
      </c>
      <c r="S2" s="19" t="e" cm="1">
        <f t="array" ref="S2">prestataires</f>
        <v>#REF!</v>
      </c>
      <c r="T2" s="19" t="str">
        <f>CONCATENATE(Adresse1,", ",Adresse2," ",Codep," ",Villeols)</f>
        <v xml:space="preserve">,   </v>
      </c>
      <c r="U2" s="19" t="str">
        <f>Siren</f>
        <v/>
      </c>
      <c r="V2" s="19" t="str">
        <f>Codep</f>
        <v/>
      </c>
      <c r="W2" s="19" t="str">
        <f>VILLE</f>
        <v>Lille</v>
      </c>
      <c r="X2" s="36">
        <f>'Plan de financement'!F14+1095</f>
        <v>46982</v>
      </c>
    </row>
    <row r="4" spans="1:24" ht="24" x14ac:dyDescent="0.2">
      <c r="A4" s="37" t="str">
        <f>A2</f>
        <v/>
      </c>
      <c r="C4" s="12">
        <f>thème</f>
        <v>0</v>
      </c>
      <c r="F4" s="12" t="str">
        <f>IF(Type="Innovation","d'innovation","de modernisation")</f>
        <v>d'innovation</v>
      </c>
      <c r="I4" s="39">
        <f>taux*100</f>
        <v>60</v>
      </c>
      <c r="L4" s="18" t="str">
        <f>service</f>
        <v>AR Hauts de France</v>
      </c>
      <c r="M4" s="18"/>
      <c r="N4" s="18" t="str">
        <f>CONCATENATE(CP," ",VILLE)</f>
        <v>59000 Lille</v>
      </c>
      <c r="O4" s="18">
        <f>VLOOKUP(L4,instruteur,8,0)</f>
        <v>328160770</v>
      </c>
      <c r="T4" s="38"/>
    </row>
    <row r="6" spans="1:24" s="51" customFormat="1" x14ac:dyDescent="0.35"/>
    <row r="7" spans="1:24" s="51" customFormat="1" x14ac:dyDescent="0.35">
      <c r="A7" s="52" t="s">
        <v>438</v>
      </c>
      <c r="B7" s="52"/>
      <c r="D7" s="52" t="s">
        <v>451</v>
      </c>
    </row>
    <row r="8" spans="1:24" s="51" customFormat="1" x14ac:dyDescent="0.35"/>
  </sheetData>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6B7CA-3C8C-43A8-9F5A-DCD9335B6661}">
  <sheetPr codeName="Feuil13"/>
  <dimension ref="A2:O112"/>
  <sheetViews>
    <sheetView showZeros="0" topLeftCell="B1" zoomScale="75" zoomScaleNormal="130" workbookViewId="0">
      <selection activeCell="B10" sqref="B10"/>
    </sheetView>
  </sheetViews>
  <sheetFormatPr baseColWidth="10" defaultColWidth="10.81640625" defaultRowHeight="13" x14ac:dyDescent="0.3"/>
  <cols>
    <col min="1" max="1" width="3.54296875" style="26" customWidth="1"/>
    <col min="2" max="2" width="40.1796875" style="159" customWidth="1"/>
    <col min="3" max="4" width="18.54296875" style="164" customWidth="1"/>
    <col min="5" max="6" width="15.54296875" style="26" customWidth="1"/>
    <col min="7" max="12" width="18.54296875" style="26" customWidth="1"/>
    <col min="13" max="18" width="12.54296875" style="26" customWidth="1"/>
    <col min="19" max="16384" width="10.81640625" style="26"/>
  </cols>
  <sheetData>
    <row r="2" spans="1:8" s="166" customFormat="1" ht="30" customHeight="1" x14ac:dyDescent="0.35">
      <c r="A2" s="26"/>
      <c r="B2" s="167" t="s">
        <v>558</v>
      </c>
      <c r="C2" s="175"/>
      <c r="D2" s="175"/>
    </row>
    <row r="4" spans="1:8" s="160" customFormat="1" ht="18" customHeight="1" x14ac:dyDescent="0.35">
      <c r="B4" s="161" t="s">
        <v>425</v>
      </c>
      <c r="C4" s="176"/>
      <c r="D4" s="176"/>
    </row>
    <row r="5" spans="1:8" ht="18" customHeight="1" x14ac:dyDescent="0.3">
      <c r="B5" s="159" t="s">
        <v>21</v>
      </c>
    </row>
    <row r="6" spans="1:8" ht="18" customHeight="1" x14ac:dyDescent="0.3">
      <c r="B6" s="159" t="str">
        <f>'Thèmes éligibles'!B6</f>
        <v>1. Logement adapté aux besoins des locataires</v>
      </c>
      <c r="G6" s="29" t="s">
        <v>17</v>
      </c>
      <c r="H6" s="29"/>
    </row>
    <row r="7" spans="1:8" ht="18" customHeight="1" x14ac:dyDescent="0.3">
      <c r="B7" s="159" t="str">
        <f>'Thèmes éligibles'!B14</f>
        <v>2. Maitrise d'ouvrage Innovante</v>
      </c>
      <c r="G7" s="30"/>
      <c r="H7" s="30"/>
    </row>
    <row r="8" spans="1:8" ht="18" customHeight="1" x14ac:dyDescent="0.3">
      <c r="B8" s="159" t="str">
        <f>'Thèmes éligibles'!B22</f>
        <v>3. Implication environnementale, citoyenne et sociétale</v>
      </c>
      <c r="G8" s="30"/>
      <c r="H8" s="30"/>
    </row>
    <row r="9" spans="1:8" ht="18" customHeight="1" x14ac:dyDescent="0.3">
      <c r="B9" s="159" t="str">
        <f>'Thèmes éligibles'!B30</f>
        <v>4. organisation efficientes au bénéfice du locataire</v>
      </c>
      <c r="G9" s="30"/>
      <c r="H9" s="30"/>
    </row>
    <row r="10" spans="1:8" ht="18" customHeight="1" x14ac:dyDescent="0.3">
      <c r="B10" s="159" t="str">
        <f>'Thèmes éligibles'!B33</f>
        <v>4.3. Utiliser la data et l’intelligence artificielle au service de l’efficacité</v>
      </c>
      <c r="G10" s="31"/>
      <c r="H10" s="31"/>
    </row>
    <row r="11" spans="1:8" ht="18" customHeight="1" x14ac:dyDescent="0.3">
      <c r="G11" s="31"/>
      <c r="H11" s="31"/>
    </row>
    <row r="12" spans="1:8" ht="18" customHeight="1" x14ac:dyDescent="0.3">
      <c r="G12" s="31"/>
      <c r="H12" s="31"/>
    </row>
    <row r="13" spans="1:8" ht="18" customHeight="1" x14ac:dyDescent="0.3">
      <c r="G13" s="31"/>
      <c r="H13" s="31"/>
    </row>
    <row r="14" spans="1:8" s="160" customFormat="1" ht="18" customHeight="1" x14ac:dyDescent="0.35">
      <c r="B14" s="161" t="s">
        <v>65</v>
      </c>
      <c r="C14" s="176"/>
      <c r="D14" s="176"/>
      <c r="G14" s="162"/>
      <c r="H14" s="162"/>
    </row>
    <row r="15" spans="1:8" ht="18" customHeight="1" x14ac:dyDescent="0.3">
      <c r="B15" s="159" t="s">
        <v>64</v>
      </c>
    </row>
    <row r="16" spans="1:8" ht="18" customHeight="1" x14ac:dyDescent="0.3">
      <c r="B16" s="159" t="s">
        <v>42</v>
      </c>
    </row>
    <row r="17" spans="2:14" ht="18" customHeight="1" x14ac:dyDescent="0.3">
      <c r="B17" s="159" t="s">
        <v>60</v>
      </c>
    </row>
    <row r="18" spans="2:14" ht="18" customHeight="1" x14ac:dyDescent="0.3">
      <c r="B18" s="159" t="s">
        <v>61</v>
      </c>
    </row>
    <row r="19" spans="2:14" ht="18" customHeight="1" x14ac:dyDescent="0.3">
      <c r="B19" s="159" t="s">
        <v>62</v>
      </c>
    </row>
    <row r="20" spans="2:14" ht="18" customHeight="1" x14ac:dyDescent="0.3">
      <c r="B20" s="159" t="s">
        <v>63</v>
      </c>
    </row>
    <row r="21" spans="2:14" ht="18" customHeight="1" x14ac:dyDescent="0.3"/>
    <row r="22" spans="2:14" s="160" customFormat="1" ht="18" customHeight="1" x14ac:dyDescent="0.35">
      <c r="B22" s="161" t="s">
        <v>168</v>
      </c>
      <c r="C22" s="176"/>
      <c r="D22" s="176"/>
    </row>
    <row r="23" spans="2:14" s="164" customFormat="1" ht="18" customHeight="1" x14ac:dyDescent="0.35">
      <c r="B23" s="208" t="s">
        <v>64</v>
      </c>
      <c r="C23" s="894" t="s">
        <v>565</v>
      </c>
      <c r="D23" s="894"/>
      <c r="E23" s="209" t="s">
        <v>566</v>
      </c>
      <c r="F23" s="209" t="s">
        <v>567</v>
      </c>
      <c r="G23" s="894" t="s">
        <v>568</v>
      </c>
      <c r="H23" s="894"/>
      <c r="I23" s="209" t="s">
        <v>569</v>
      </c>
      <c r="J23" s="209" t="s">
        <v>570</v>
      </c>
      <c r="K23" s="894" t="s">
        <v>571</v>
      </c>
      <c r="L23" s="902"/>
    </row>
    <row r="24" spans="2:14" ht="18" customHeight="1" x14ac:dyDescent="0.3">
      <c r="B24" s="210" t="s">
        <v>144</v>
      </c>
      <c r="C24" s="890" t="s">
        <v>611</v>
      </c>
      <c r="D24" s="890"/>
      <c r="E24" s="211">
        <v>75008</v>
      </c>
      <c r="F24" s="211" t="s">
        <v>78</v>
      </c>
      <c r="G24" s="901" t="s">
        <v>134</v>
      </c>
      <c r="H24" s="901"/>
      <c r="I24" s="212" t="s">
        <v>135</v>
      </c>
      <c r="J24" s="211" t="s">
        <v>133</v>
      </c>
      <c r="K24" s="890" t="s">
        <v>606</v>
      </c>
      <c r="L24" s="891"/>
      <c r="M24" s="164"/>
      <c r="N24" s="164"/>
    </row>
    <row r="25" spans="2:14" ht="18" customHeight="1" x14ac:dyDescent="0.3">
      <c r="B25" s="213" t="s">
        <v>400</v>
      </c>
      <c r="C25" s="895" t="s">
        <v>610</v>
      </c>
      <c r="D25" s="895"/>
      <c r="E25" s="214">
        <v>69008</v>
      </c>
      <c r="F25" s="214" t="s">
        <v>116</v>
      </c>
      <c r="G25" s="897" t="s">
        <v>609</v>
      </c>
      <c r="H25" s="898"/>
      <c r="I25" s="215">
        <v>478770107</v>
      </c>
      <c r="J25" s="214" t="s">
        <v>113</v>
      </c>
      <c r="K25" s="895" t="s">
        <v>155</v>
      </c>
      <c r="L25" s="903"/>
      <c r="M25" s="164"/>
      <c r="N25" s="164"/>
    </row>
    <row r="26" spans="2:14" ht="18" customHeight="1" x14ac:dyDescent="0.3">
      <c r="B26" s="216" t="s">
        <v>96</v>
      </c>
      <c r="C26" s="896" t="s">
        <v>119</v>
      </c>
      <c r="D26" s="896"/>
      <c r="E26" s="217">
        <v>21000</v>
      </c>
      <c r="F26" s="217" t="s">
        <v>120</v>
      </c>
      <c r="G26" s="899" t="s">
        <v>131</v>
      </c>
      <c r="H26" s="899"/>
      <c r="I26" s="218">
        <v>380364444</v>
      </c>
      <c r="J26" s="217" t="s">
        <v>111</v>
      </c>
      <c r="K26" s="895" t="s">
        <v>156</v>
      </c>
      <c r="L26" s="903"/>
      <c r="M26" s="164"/>
      <c r="N26" s="164"/>
    </row>
    <row r="27" spans="2:14" ht="18" customHeight="1" x14ac:dyDescent="0.3">
      <c r="B27" s="213" t="s">
        <v>93</v>
      </c>
      <c r="C27" s="895" t="s">
        <v>91</v>
      </c>
      <c r="D27" s="895"/>
      <c r="E27" s="214">
        <v>35000</v>
      </c>
      <c r="F27" s="214" t="s">
        <v>92</v>
      </c>
      <c r="G27" s="897" t="s">
        <v>614</v>
      </c>
      <c r="H27" s="898"/>
      <c r="I27" s="215" t="s">
        <v>137</v>
      </c>
      <c r="J27" s="214" t="s">
        <v>109</v>
      </c>
      <c r="K27" s="895" t="s">
        <v>599</v>
      </c>
      <c r="L27" s="903"/>
      <c r="M27" s="164"/>
      <c r="N27" s="164"/>
    </row>
    <row r="28" spans="2:14" ht="18" customHeight="1" x14ac:dyDescent="0.3">
      <c r="B28" s="216" t="s">
        <v>129</v>
      </c>
      <c r="C28" s="896" t="s">
        <v>127</v>
      </c>
      <c r="D28" s="896"/>
      <c r="E28" s="217">
        <v>51100</v>
      </c>
      <c r="F28" s="217" t="s">
        <v>128</v>
      </c>
      <c r="G28" s="900" t="s">
        <v>615</v>
      </c>
      <c r="H28" s="896"/>
      <c r="I28" s="218" t="s">
        <v>142</v>
      </c>
      <c r="J28" s="217" t="s">
        <v>121</v>
      </c>
      <c r="K28" s="896" t="s">
        <v>605</v>
      </c>
      <c r="L28" s="904"/>
      <c r="M28" s="164"/>
      <c r="N28" s="164"/>
    </row>
    <row r="29" spans="2:14" ht="18" customHeight="1" x14ac:dyDescent="0.3">
      <c r="B29" s="213" t="s">
        <v>97</v>
      </c>
      <c r="C29" s="895" t="s">
        <v>117</v>
      </c>
      <c r="D29" s="895"/>
      <c r="E29" s="214">
        <v>25000</v>
      </c>
      <c r="F29" s="214" t="s">
        <v>118</v>
      </c>
      <c r="G29" s="897" t="s">
        <v>131</v>
      </c>
      <c r="H29" s="898"/>
      <c r="I29" s="215">
        <v>381522155</v>
      </c>
      <c r="J29" s="214" t="s">
        <v>112</v>
      </c>
      <c r="K29" s="895" t="s">
        <v>156</v>
      </c>
      <c r="L29" s="903"/>
      <c r="M29" s="164"/>
      <c r="N29" s="164"/>
    </row>
    <row r="30" spans="2:14" ht="18" customHeight="1" x14ac:dyDescent="0.3">
      <c r="B30" s="216" t="s">
        <v>86</v>
      </c>
      <c r="C30" s="896" t="s">
        <v>623</v>
      </c>
      <c r="D30" s="896"/>
      <c r="E30" s="217">
        <v>59000</v>
      </c>
      <c r="F30" s="217" t="s">
        <v>85</v>
      </c>
      <c r="G30" s="900" t="s">
        <v>616</v>
      </c>
      <c r="H30" s="899"/>
      <c r="I30" s="218">
        <v>328160770</v>
      </c>
      <c r="J30" s="217" t="s">
        <v>106</v>
      </c>
      <c r="K30" s="896" t="s">
        <v>600</v>
      </c>
      <c r="L30" s="904"/>
      <c r="M30" s="164"/>
      <c r="N30" s="164"/>
    </row>
    <row r="31" spans="2:14" ht="18" customHeight="1" x14ac:dyDescent="0.3">
      <c r="B31" s="213" t="s">
        <v>87</v>
      </c>
      <c r="C31" s="895" t="s">
        <v>89</v>
      </c>
      <c r="D31" s="895"/>
      <c r="E31" s="214">
        <v>76100</v>
      </c>
      <c r="F31" s="214" t="s">
        <v>88</v>
      </c>
      <c r="G31" s="898" t="s">
        <v>90</v>
      </c>
      <c r="H31" s="898"/>
      <c r="I31" s="215">
        <v>232814550</v>
      </c>
      <c r="J31" s="214" t="s">
        <v>108</v>
      </c>
      <c r="K31" s="895" t="s">
        <v>601</v>
      </c>
      <c r="L31" s="903"/>
      <c r="M31" s="164"/>
      <c r="N31" s="164"/>
    </row>
    <row r="32" spans="2:14" ht="18" customHeight="1" x14ac:dyDescent="0.3">
      <c r="B32" s="216" t="s">
        <v>95</v>
      </c>
      <c r="C32" s="896" t="s">
        <v>621</v>
      </c>
      <c r="D32" s="896"/>
      <c r="E32" s="217">
        <v>33110</v>
      </c>
      <c r="F32" s="217" t="s">
        <v>622</v>
      </c>
      <c r="G32" s="899" t="s">
        <v>130</v>
      </c>
      <c r="H32" s="899"/>
      <c r="I32" s="218" t="s">
        <v>140</v>
      </c>
      <c r="J32" s="217" t="s">
        <v>110</v>
      </c>
      <c r="K32" s="896" t="s">
        <v>602</v>
      </c>
      <c r="L32" s="904"/>
      <c r="M32" s="164"/>
      <c r="N32" s="164"/>
    </row>
    <row r="33" spans="2:14" ht="18" customHeight="1" x14ac:dyDescent="0.3">
      <c r="B33" s="213" t="s">
        <v>604</v>
      </c>
      <c r="C33" s="895" t="s">
        <v>101</v>
      </c>
      <c r="D33" s="895"/>
      <c r="E33" s="214">
        <v>34077</v>
      </c>
      <c r="F33" s="214" t="s">
        <v>102</v>
      </c>
      <c r="G33" s="897" t="s">
        <v>603</v>
      </c>
      <c r="H33" s="898"/>
      <c r="I33" s="215">
        <v>499512536</v>
      </c>
      <c r="J33" s="214" t="s">
        <v>115</v>
      </c>
      <c r="K33" s="895" t="s">
        <v>624</v>
      </c>
      <c r="L33" s="903"/>
      <c r="M33" s="164"/>
      <c r="N33" s="164"/>
    </row>
    <row r="34" spans="2:14" ht="18" customHeight="1" x14ac:dyDescent="0.3">
      <c r="B34" s="216"/>
      <c r="C34" s="896"/>
      <c r="D34" s="896"/>
      <c r="E34" s="217"/>
      <c r="F34" s="217"/>
      <c r="G34" s="899"/>
      <c r="H34" s="899"/>
      <c r="I34" s="218"/>
      <c r="J34" s="217"/>
      <c r="K34" s="896"/>
      <c r="L34" s="904"/>
      <c r="M34" s="164"/>
      <c r="N34" s="164"/>
    </row>
    <row r="35" spans="2:14" ht="18" customHeight="1" x14ac:dyDescent="0.3">
      <c r="B35" s="213" t="s">
        <v>98</v>
      </c>
      <c r="C35" s="895" t="s">
        <v>103</v>
      </c>
      <c r="D35" s="895"/>
      <c r="E35" s="214">
        <v>13007</v>
      </c>
      <c r="F35" s="214" t="s">
        <v>104</v>
      </c>
      <c r="G35" s="897" t="s">
        <v>613</v>
      </c>
      <c r="H35" s="898"/>
      <c r="I35" s="215" t="s">
        <v>138</v>
      </c>
      <c r="J35" s="214" t="s">
        <v>114</v>
      </c>
      <c r="K35" s="895" t="s">
        <v>607</v>
      </c>
      <c r="L35" s="903"/>
      <c r="M35" s="164"/>
      <c r="N35" s="164"/>
    </row>
    <row r="36" spans="2:14" ht="18" customHeight="1" x14ac:dyDescent="0.3">
      <c r="B36" s="216" t="s">
        <v>94</v>
      </c>
      <c r="C36" s="896" t="s">
        <v>99</v>
      </c>
      <c r="D36" s="896"/>
      <c r="E36" s="217">
        <v>44800</v>
      </c>
      <c r="F36" s="217" t="s">
        <v>100</v>
      </c>
      <c r="G36" s="900" t="s">
        <v>617</v>
      </c>
      <c r="H36" s="899"/>
      <c r="I36" s="218" t="s">
        <v>139</v>
      </c>
      <c r="J36" s="217" t="s">
        <v>107</v>
      </c>
      <c r="K36" s="896" t="s">
        <v>158</v>
      </c>
      <c r="L36" s="904"/>
      <c r="M36" s="164"/>
      <c r="N36" s="164"/>
    </row>
    <row r="37" spans="2:14" ht="18" customHeight="1" x14ac:dyDescent="0.3">
      <c r="B37" s="213" t="s">
        <v>79</v>
      </c>
      <c r="C37" s="895" t="s">
        <v>80</v>
      </c>
      <c r="D37" s="895"/>
      <c r="E37" s="214">
        <v>45001</v>
      </c>
      <c r="F37" s="214" t="s">
        <v>81</v>
      </c>
      <c r="G37" s="905" t="s">
        <v>618</v>
      </c>
      <c r="H37" s="895"/>
      <c r="I37" s="215">
        <v>218845000</v>
      </c>
      <c r="J37" s="214" t="s">
        <v>105</v>
      </c>
      <c r="K37" s="895" t="s">
        <v>608</v>
      </c>
      <c r="L37" s="903"/>
      <c r="M37" s="164"/>
      <c r="N37" s="164"/>
    </row>
    <row r="38" spans="2:14" ht="18" customHeight="1" x14ac:dyDescent="0.3">
      <c r="B38" s="216" t="s">
        <v>122</v>
      </c>
      <c r="C38" s="896" t="s">
        <v>123</v>
      </c>
      <c r="D38" s="896"/>
      <c r="E38" s="217">
        <v>67608</v>
      </c>
      <c r="F38" s="217" t="s">
        <v>124</v>
      </c>
      <c r="G38" s="900" t="s">
        <v>619</v>
      </c>
      <c r="H38" s="899"/>
      <c r="I38" s="218" t="s">
        <v>141</v>
      </c>
      <c r="J38" s="217" t="s">
        <v>121</v>
      </c>
      <c r="K38" s="896" t="s">
        <v>157</v>
      </c>
      <c r="L38" s="904"/>
      <c r="M38" s="164"/>
      <c r="N38" s="164"/>
    </row>
    <row r="39" spans="2:14" ht="18" customHeight="1" x14ac:dyDescent="0.3">
      <c r="B39" s="213" t="s">
        <v>125</v>
      </c>
      <c r="C39" s="895" t="s">
        <v>594</v>
      </c>
      <c r="D39" s="895"/>
      <c r="E39" s="214">
        <v>57006</v>
      </c>
      <c r="F39" s="214" t="s">
        <v>126</v>
      </c>
      <c r="G39" s="898" t="s">
        <v>132</v>
      </c>
      <c r="H39" s="898"/>
      <c r="I39" s="215" t="s">
        <v>136</v>
      </c>
      <c r="J39" s="214" t="s">
        <v>121</v>
      </c>
      <c r="K39" s="895" t="s">
        <v>593</v>
      </c>
      <c r="L39" s="903"/>
      <c r="M39" s="164"/>
      <c r="N39" s="164"/>
    </row>
    <row r="40" spans="2:14" ht="18" customHeight="1" x14ac:dyDescent="0.3">
      <c r="B40" s="216" t="s">
        <v>77</v>
      </c>
      <c r="C40" s="896" t="s">
        <v>143</v>
      </c>
      <c r="D40" s="896"/>
      <c r="E40" s="217">
        <v>75008</v>
      </c>
      <c r="F40" s="217" t="s">
        <v>78</v>
      </c>
      <c r="G40" s="899" t="s">
        <v>82</v>
      </c>
      <c r="H40" s="899"/>
      <c r="I40" s="218">
        <v>140756882</v>
      </c>
      <c r="J40" s="217" t="s">
        <v>133</v>
      </c>
      <c r="K40" s="908" t="s">
        <v>154</v>
      </c>
      <c r="L40" s="909"/>
      <c r="M40" s="164"/>
      <c r="N40" s="164"/>
    </row>
    <row r="41" spans="2:14" ht="18" customHeight="1" x14ac:dyDescent="0.3">
      <c r="B41" s="213" t="s">
        <v>76</v>
      </c>
      <c r="C41" s="895" t="s">
        <v>143</v>
      </c>
      <c r="D41" s="895"/>
      <c r="E41" s="214">
        <v>75008</v>
      </c>
      <c r="F41" s="214" t="s">
        <v>78</v>
      </c>
      <c r="G41" s="897" t="s">
        <v>620</v>
      </c>
      <c r="H41" s="898"/>
      <c r="I41" s="215">
        <v>140757951</v>
      </c>
      <c r="J41" s="214" t="s">
        <v>133</v>
      </c>
      <c r="K41" s="906" t="s">
        <v>153</v>
      </c>
      <c r="L41" s="907"/>
      <c r="M41" s="164"/>
      <c r="N41" s="164"/>
    </row>
    <row r="42" spans="2:14" ht="18" customHeight="1" x14ac:dyDescent="0.3">
      <c r="B42" s="216" t="s">
        <v>75</v>
      </c>
      <c r="C42" s="896" t="s">
        <v>143</v>
      </c>
      <c r="D42" s="896"/>
      <c r="E42" s="217">
        <v>75008</v>
      </c>
      <c r="F42" s="217" t="s">
        <v>78</v>
      </c>
      <c r="G42" s="900" t="s">
        <v>612</v>
      </c>
      <c r="H42" s="899"/>
      <c r="I42" s="218">
        <v>140757848</v>
      </c>
      <c r="J42" s="217" t="s">
        <v>133</v>
      </c>
      <c r="K42" s="908" t="s">
        <v>152</v>
      </c>
      <c r="L42" s="909"/>
      <c r="M42" s="164"/>
      <c r="N42" s="164"/>
    </row>
    <row r="43" spans="2:14" ht="18" customHeight="1" x14ac:dyDescent="0.3">
      <c r="B43" s="219" t="s">
        <v>83</v>
      </c>
      <c r="C43" s="895" t="s">
        <v>143</v>
      </c>
      <c r="D43" s="895"/>
      <c r="E43" s="220">
        <v>75008</v>
      </c>
      <c r="F43" s="220" t="s">
        <v>78</v>
      </c>
      <c r="G43" s="898" t="s">
        <v>84</v>
      </c>
      <c r="H43" s="898"/>
      <c r="I43" s="221">
        <v>140757880</v>
      </c>
      <c r="J43" s="220" t="s">
        <v>133</v>
      </c>
      <c r="K43" s="906" t="s">
        <v>151</v>
      </c>
      <c r="L43" s="907"/>
      <c r="M43" s="164"/>
      <c r="N43" s="164"/>
    </row>
    <row r="44" spans="2:14" ht="18" customHeight="1" x14ac:dyDescent="0.3">
      <c r="E44" s="164"/>
      <c r="F44" s="164"/>
      <c r="G44" s="164"/>
      <c r="H44" s="164"/>
      <c r="I44" s="165"/>
      <c r="J44" s="164"/>
      <c r="K44" s="164"/>
      <c r="L44" s="164"/>
      <c r="M44" s="164"/>
      <c r="N44" s="164"/>
    </row>
    <row r="45" spans="2:14" ht="18" customHeight="1" x14ac:dyDescent="0.3">
      <c r="B45" s="159" t="s">
        <v>5</v>
      </c>
      <c r="C45" s="180" t="str">
        <f>LEFT(Codep,2)</f>
        <v/>
      </c>
      <c r="E45" s="164"/>
      <c r="F45" s="164"/>
      <c r="G45" s="164"/>
      <c r="H45" s="164"/>
      <c r="I45" s="165"/>
      <c r="J45" s="164"/>
      <c r="K45" s="164"/>
      <c r="L45" s="164"/>
      <c r="M45" s="164"/>
      <c r="N45" s="164"/>
    </row>
    <row r="46" spans="2:14" ht="18" customHeight="1" x14ac:dyDescent="0.3">
      <c r="E46" s="164"/>
      <c r="F46" s="164"/>
      <c r="G46" s="164"/>
      <c r="H46" s="164"/>
      <c r="I46" s="165"/>
      <c r="J46" s="164"/>
      <c r="K46" s="164"/>
      <c r="L46" s="164"/>
      <c r="M46" s="164"/>
      <c r="N46" s="164"/>
    </row>
    <row r="47" spans="2:14" s="160" customFormat="1" ht="18" customHeight="1" x14ac:dyDescent="0.35">
      <c r="B47" s="161" t="s">
        <v>419</v>
      </c>
      <c r="C47" s="176"/>
      <c r="D47" s="176"/>
      <c r="I47" s="163"/>
    </row>
    <row r="48" spans="2:14" ht="18" customHeight="1" x14ac:dyDescent="0.3">
      <c r="B48" s="159" t="s">
        <v>420</v>
      </c>
      <c r="C48" s="181">
        <v>1.6E-2</v>
      </c>
    </row>
    <row r="49" spans="2:15" ht="18" customHeight="1" x14ac:dyDescent="0.3">
      <c r="B49" s="159" t="s">
        <v>421</v>
      </c>
      <c r="C49" s="182">
        <v>1.8</v>
      </c>
    </row>
    <row r="50" spans="2:15" ht="18" customHeight="1" x14ac:dyDescent="0.3">
      <c r="B50" s="159" t="s">
        <v>445</v>
      </c>
      <c r="C50" s="183">
        <v>60000</v>
      </c>
    </row>
    <row r="51" spans="2:15" ht="18" customHeight="1" x14ac:dyDescent="0.3">
      <c r="C51" s="169"/>
    </row>
    <row r="52" spans="2:15" ht="18" customHeight="1" x14ac:dyDescent="0.3">
      <c r="B52" s="164" t="s">
        <v>573</v>
      </c>
      <c r="C52" s="184">
        <f>durée</f>
        <v>0</v>
      </c>
      <c r="D52" s="178" t="s">
        <v>443</v>
      </c>
      <c r="G52" s="177"/>
      <c r="H52" s="177"/>
      <c r="I52" s="27"/>
    </row>
    <row r="53" spans="2:15" ht="18" customHeight="1" x14ac:dyDescent="0.3">
      <c r="B53" s="164" t="s">
        <v>574</v>
      </c>
      <c r="C53" s="185">
        <f>C52/12</f>
        <v>0</v>
      </c>
      <c r="D53" s="178" t="s">
        <v>444</v>
      </c>
      <c r="G53" s="177"/>
      <c r="H53" s="177"/>
      <c r="I53" s="27"/>
    </row>
    <row r="54" spans="2:15" ht="18" customHeight="1" x14ac:dyDescent="0.3">
      <c r="B54" s="164"/>
      <c r="C54" s="179"/>
      <c r="D54" s="178"/>
      <c r="G54" s="177"/>
      <c r="H54" s="177"/>
      <c r="I54" s="27"/>
    </row>
    <row r="55" spans="2:15" ht="18" customHeight="1" x14ac:dyDescent="0.3">
      <c r="B55" s="164" t="s">
        <v>577</v>
      </c>
      <c r="C55" s="186">
        <f>'Plan de financement'!F10</f>
        <v>0</v>
      </c>
      <c r="D55" s="178" t="s">
        <v>578</v>
      </c>
      <c r="E55" s="245">
        <f>YEAR(C55)</f>
        <v>1900</v>
      </c>
      <c r="F55" s="178" t="s">
        <v>579</v>
      </c>
      <c r="G55" s="245">
        <f>MONTH(C55)</f>
        <v>1</v>
      </c>
      <c r="H55" s="177"/>
      <c r="I55" s="27"/>
    </row>
    <row r="56" spans="2:15" ht="18" customHeight="1" x14ac:dyDescent="0.3">
      <c r="B56" s="164" t="s">
        <v>531</v>
      </c>
      <c r="C56" s="186">
        <f>'Plan de financement'!F11</f>
        <v>0</v>
      </c>
      <c r="D56" s="178" t="s">
        <v>578</v>
      </c>
      <c r="E56" s="245">
        <f>YEAR(C56)</f>
        <v>1900</v>
      </c>
      <c r="F56" s="178" t="s">
        <v>579</v>
      </c>
      <c r="G56" s="245">
        <f>MONTH(C56)</f>
        <v>1</v>
      </c>
      <c r="H56" s="28"/>
      <c r="I56" s="27"/>
    </row>
    <row r="57" spans="2:15" ht="18" customHeight="1" x14ac:dyDescent="0.3">
      <c r="G57" s="28"/>
      <c r="H57" s="28"/>
      <c r="I57" s="27"/>
    </row>
    <row r="58" spans="2:15" ht="18" customHeight="1" x14ac:dyDescent="0.3"/>
    <row r="59" spans="2:15" ht="18" customHeight="1" x14ac:dyDescent="0.35">
      <c r="B59" s="161" t="s">
        <v>468</v>
      </c>
    </row>
    <row r="60" spans="2:15" ht="18" customHeight="1" x14ac:dyDescent="0.35">
      <c r="B60" s="168" t="s">
        <v>560</v>
      </c>
      <c r="E60" s="59"/>
      <c r="F60" s="59"/>
      <c r="J60" s="28"/>
      <c r="K60" s="27"/>
    </row>
    <row r="61" spans="2:15" s="159" customFormat="1" ht="18" hidden="1" customHeight="1" x14ac:dyDescent="0.35">
      <c r="C61" s="197" t="s">
        <v>469</v>
      </c>
      <c r="D61" s="197" t="s">
        <v>470</v>
      </c>
      <c r="E61" s="892" t="s">
        <v>532</v>
      </c>
      <c r="F61" s="201" t="s">
        <v>561</v>
      </c>
      <c r="G61" s="200" t="s">
        <v>533</v>
      </c>
      <c r="I61" s="200" t="s">
        <v>562</v>
      </c>
      <c r="J61" s="200" t="s">
        <v>563</v>
      </c>
      <c r="K61" s="200" t="s">
        <v>564</v>
      </c>
      <c r="L61" s="201" t="s">
        <v>59</v>
      </c>
    </row>
    <row r="62" spans="2:15" s="201" customFormat="1" ht="18" hidden="1" customHeight="1" x14ac:dyDescent="0.35">
      <c r="B62" s="196" t="s">
        <v>423</v>
      </c>
      <c r="E62" s="893"/>
      <c r="I62" s="202">
        <f>IF(D65&lt;=E55,E55,0)</f>
        <v>1900</v>
      </c>
      <c r="J62" s="202">
        <f>I62+1</f>
        <v>1901</v>
      </c>
      <c r="K62" s="202">
        <f>+J62+1</f>
        <v>1902</v>
      </c>
      <c r="L62" s="244"/>
    </row>
    <row r="63" spans="2:15" s="159" customFormat="1" ht="18" hidden="1" customHeight="1" x14ac:dyDescent="0.3">
      <c r="B63" s="159" t="s">
        <v>422</v>
      </c>
      <c r="C63" s="243">
        <f>Salaire1</f>
        <v>0</v>
      </c>
      <c r="D63" s="190" cm="1">
        <f t="array" ref="D63">IF(Salaire1&gt;salairemax,salairemax,Salaire1)</f>
        <v>0</v>
      </c>
      <c r="E63" s="191">
        <f>'Plan de financement'!G55</f>
        <v>0</v>
      </c>
      <c r="F63" s="192">
        <f>(DATEDIF(E63,$C$56,"m"))</f>
        <v>0</v>
      </c>
      <c r="G63" s="198">
        <f>F63/12</f>
        <v>0</v>
      </c>
      <c r="I63" s="188">
        <f>IF(F63&lt;12,(D63/12)*F63*coeff,D63*coeff)</f>
        <v>0</v>
      </c>
      <c r="J63" s="188">
        <f>IF(J62&lt;&gt;0,(I63*(1+inflation))*J62,0)</f>
        <v>0</v>
      </c>
      <c r="K63" s="188">
        <f>IF(K62&lt;&gt;0,J63*(1+inflation)*K62,0)</f>
        <v>0</v>
      </c>
      <c r="L63" s="189">
        <f>SUM(I63:K63)</f>
        <v>0</v>
      </c>
      <c r="N63" s="169"/>
      <c r="O63" s="169"/>
    </row>
    <row r="64" spans="2:15" s="159" customFormat="1" ht="18" hidden="1" customHeight="1" x14ac:dyDescent="0.3">
      <c r="C64" s="171"/>
      <c r="D64" s="171"/>
      <c r="E64" s="171"/>
      <c r="F64" s="172"/>
      <c r="G64" s="173"/>
      <c r="H64" s="173"/>
      <c r="I64" s="171"/>
      <c r="N64" s="169"/>
      <c r="O64" s="169"/>
    </row>
    <row r="65" spans="2:15" s="159" customFormat="1" ht="18" hidden="1" customHeight="1" x14ac:dyDescent="0.3">
      <c r="C65" s="171" t="s">
        <v>575</v>
      </c>
      <c r="D65" s="187">
        <f>YEAR(E63)</f>
        <v>1900</v>
      </c>
      <c r="E65" s="171" t="s">
        <v>576</v>
      </c>
      <c r="F65" s="187">
        <f>MONTH(E63)</f>
        <v>1</v>
      </c>
      <c r="G65" s="173"/>
      <c r="H65" s="173"/>
      <c r="I65" s="171"/>
      <c r="N65" s="169"/>
      <c r="O65" s="169"/>
    </row>
    <row r="66" spans="2:15" s="159" customFormat="1" ht="18" hidden="1" customHeight="1" x14ac:dyDescent="0.3">
      <c r="E66" s="171"/>
      <c r="F66" s="172"/>
      <c r="G66" s="173"/>
      <c r="H66" s="173"/>
      <c r="I66" s="171"/>
      <c r="N66" s="169"/>
      <c r="O66" s="169"/>
    </row>
    <row r="67" spans="2:15" s="159" customFormat="1" ht="18" hidden="1" customHeight="1" x14ac:dyDescent="0.3">
      <c r="C67" s="171"/>
      <c r="D67" s="171"/>
      <c r="E67" s="171"/>
      <c r="F67" s="172"/>
      <c r="G67" s="173"/>
      <c r="H67" s="173"/>
      <c r="I67" s="171"/>
      <c r="N67" s="169"/>
      <c r="O67" s="169"/>
    </row>
    <row r="68" spans="2:15" s="159" customFormat="1" ht="18" hidden="1" customHeight="1" x14ac:dyDescent="0.3">
      <c r="C68" s="171"/>
      <c r="D68" s="171"/>
      <c r="E68" s="171"/>
      <c r="F68" s="172"/>
      <c r="G68" s="173"/>
      <c r="H68" s="173"/>
      <c r="I68" s="171"/>
      <c r="N68" s="169"/>
      <c r="O68" s="169"/>
    </row>
    <row r="69" spans="2:15" s="197" customFormat="1" ht="18" hidden="1" customHeight="1" x14ac:dyDescent="0.35">
      <c r="B69" s="197" t="s">
        <v>424</v>
      </c>
      <c r="C69" s="203"/>
      <c r="D69" s="203"/>
      <c r="E69" s="204"/>
      <c r="F69" s="205"/>
      <c r="G69" s="205"/>
      <c r="I69" s="202">
        <f>IF(G70&gt;=1,1,F70)</f>
        <v>0</v>
      </c>
      <c r="J69" s="202">
        <f>IF(G70&gt;=2,1,0)</f>
        <v>0</v>
      </c>
      <c r="K69" s="202">
        <f>IF(G70&gt;=3,1,0)</f>
        <v>0</v>
      </c>
      <c r="L69" s="244"/>
      <c r="O69" s="206"/>
    </row>
    <row r="70" spans="2:15" s="159" customFormat="1" ht="18" hidden="1" customHeight="1" x14ac:dyDescent="0.3">
      <c r="B70" s="159" t="s">
        <v>422</v>
      </c>
      <c r="C70" s="199">
        <f>Salaire2</f>
        <v>0</v>
      </c>
      <c r="D70" s="190">
        <f>IF(Salaire2&gt;salairemax,salairemax,Salaire2)</f>
        <v>0</v>
      </c>
      <c r="E70" s="191">
        <f>'Plan de financement'!G58</f>
        <v>0</v>
      </c>
      <c r="F70" s="192">
        <f>IF(ISERROR((DATEDIF(E70,$C$56,"m"))),"",(DATEDIF(E70,$C$56,"m")))</f>
        <v>0</v>
      </c>
      <c r="G70" s="198">
        <f>IF(ISERROR(F70/12),"",F70/12)</f>
        <v>0</v>
      </c>
      <c r="I70" s="188">
        <f>IF(F70&lt;12,(D70/12)*F70*coeff,D70*coeff)</f>
        <v>0</v>
      </c>
      <c r="J70" s="188">
        <f>IF(J69&lt;&gt;0,(I70*(1+inflation))*J69,0)</f>
        <v>0</v>
      </c>
      <c r="K70" s="188">
        <f>IF(K69&lt;&gt;0,J70*(1+inflation)*K69,0)</f>
        <v>0</v>
      </c>
      <c r="L70" s="189">
        <f>SUM(I70:K70)</f>
        <v>0</v>
      </c>
      <c r="O70" s="169"/>
    </row>
    <row r="71" spans="2:15" s="159" customFormat="1" ht="18" hidden="1" customHeight="1" x14ac:dyDescent="0.3">
      <c r="C71" s="171"/>
      <c r="D71" s="171"/>
      <c r="E71" s="171"/>
      <c r="F71" s="172"/>
      <c r="G71" s="173"/>
      <c r="H71" s="173"/>
      <c r="I71" s="171"/>
      <c r="O71" s="169"/>
    </row>
    <row r="72" spans="2:15" s="197" customFormat="1" ht="18" hidden="1" customHeight="1" x14ac:dyDescent="0.35">
      <c r="B72" s="197" t="s">
        <v>439</v>
      </c>
      <c r="C72" s="206"/>
      <c r="D72" s="206"/>
      <c r="E72" s="206"/>
      <c r="F72" s="207"/>
      <c r="G72" s="205"/>
      <c r="H72" s="205"/>
      <c r="I72" s="202">
        <f>IF(G73&gt;=1,1,F73)</f>
        <v>0</v>
      </c>
      <c r="J72" s="202">
        <f>IF(G73&gt;=2,1,0)</f>
        <v>0</v>
      </c>
      <c r="K72" s="202">
        <f>IF(G73&gt;=3,1,0)</f>
        <v>0</v>
      </c>
      <c r="L72" s="244"/>
      <c r="M72" s="206"/>
    </row>
    <row r="73" spans="2:15" s="159" customFormat="1" ht="18" hidden="1" customHeight="1" x14ac:dyDescent="0.3">
      <c r="B73" s="159" t="s">
        <v>422</v>
      </c>
      <c r="C73" s="199">
        <f>Salaire3</f>
        <v>0</v>
      </c>
      <c r="D73" s="190">
        <f>IF(Salaire3&gt;salairemax,salairemax,Salaire3)</f>
        <v>0</v>
      </c>
      <c r="E73" s="191">
        <f>'Plan de financement'!G61</f>
        <v>0</v>
      </c>
      <c r="F73" s="192">
        <f>IF(ISERROR((DATEDIF(E73,$C$56,"m"))),"",(DATEDIF(E73,$C$56,"m")))</f>
        <v>0</v>
      </c>
      <c r="G73" s="242">
        <f>IF(ISERROR(F73/12),"",F73/12)</f>
        <v>0</v>
      </c>
      <c r="I73" s="188">
        <f>IF(F73&lt;12,(D73/12)*F73*coeff,D73*coeff)</f>
        <v>0</v>
      </c>
      <c r="J73" s="188">
        <f>IF(J72&lt;&gt;0,(I73*(1+inflation))*J72,0)</f>
        <v>0</v>
      </c>
      <c r="K73" s="188">
        <f>IF(K72&lt;&gt;0,J73*(1+inflation)*K72,0)</f>
        <v>0</v>
      </c>
      <c r="L73" s="189">
        <f>SUM(I73:K73)</f>
        <v>0</v>
      </c>
      <c r="M73" s="171"/>
    </row>
    <row r="74" spans="2:15" s="159" customFormat="1" ht="18" hidden="1" customHeight="1" x14ac:dyDescent="0.3">
      <c r="C74" s="195"/>
      <c r="D74" s="195"/>
      <c r="E74" s="195"/>
      <c r="F74" s="172"/>
      <c r="G74" s="173"/>
      <c r="H74" s="173"/>
      <c r="I74" s="193"/>
      <c r="J74" s="193"/>
      <c r="K74" s="193"/>
      <c r="L74" s="194"/>
      <c r="M74" s="171"/>
    </row>
    <row r="75" spans="2:15" s="197" customFormat="1" ht="18" hidden="1" customHeight="1" x14ac:dyDescent="0.35">
      <c r="B75" s="197" t="s">
        <v>440</v>
      </c>
      <c r="C75" s="206"/>
      <c r="D75" s="206"/>
      <c r="E75" s="206"/>
      <c r="F75" s="207"/>
      <c r="G75" s="205"/>
      <c r="H75" s="205"/>
      <c r="I75" s="202">
        <f>IF(G76&gt;=1,1,F76)</f>
        <v>0</v>
      </c>
      <c r="J75" s="202">
        <f>IF(G76&gt;=2,1,0)</f>
        <v>0</v>
      </c>
      <c r="K75" s="202">
        <f>IF(G76&gt;=3,1,0)</f>
        <v>0</v>
      </c>
      <c r="L75" s="244"/>
    </row>
    <row r="76" spans="2:15" s="159" customFormat="1" ht="18" hidden="1" customHeight="1" x14ac:dyDescent="0.3">
      <c r="B76" s="159" t="s">
        <v>422</v>
      </c>
      <c r="C76" s="199">
        <f>Salaire4</f>
        <v>0</v>
      </c>
      <c r="D76" s="190">
        <f>IF(Salaire4&gt;salairemax,salairemax,Salaire4)</f>
        <v>0</v>
      </c>
      <c r="E76" s="191">
        <f>'Plan de financement'!G64</f>
        <v>0</v>
      </c>
      <c r="F76" s="192">
        <f>IF(ISERROR((DATEDIF(E76,$C$56,"m"))),"",(DATEDIF(E76,$C$56,"m")))</f>
        <v>0</v>
      </c>
      <c r="G76" s="242">
        <f>IF(ISERROR(F76/12),"",F76/12)</f>
        <v>0</v>
      </c>
      <c r="I76" s="188">
        <f>IF(F76&lt;12,(D76/12)*F76*coeff,D76*coeff)</f>
        <v>0</v>
      </c>
      <c r="J76" s="188">
        <f>IF(J75&lt;&gt;0,(I76*(1+inflation))*J75,0)</f>
        <v>0</v>
      </c>
      <c r="K76" s="188">
        <f>IF(K75&lt;&gt;0,J76*(1+inflation)*K75,0)</f>
        <v>0</v>
      </c>
      <c r="L76" s="189">
        <f>SUM(I76:K76)</f>
        <v>0</v>
      </c>
    </row>
    <row r="77" spans="2:15" s="159" customFormat="1" ht="18" hidden="1" customHeight="1" x14ac:dyDescent="0.3">
      <c r="C77" s="171"/>
      <c r="D77" s="171"/>
      <c r="E77" s="171"/>
      <c r="F77" s="171"/>
      <c r="G77" s="171"/>
      <c r="H77" s="171"/>
      <c r="I77" s="171"/>
      <c r="J77" s="170"/>
      <c r="K77" s="170"/>
      <c r="L77" s="174"/>
      <c r="M77" s="170"/>
    </row>
    <row r="78" spans="2:15" s="159" customFormat="1" ht="18" hidden="1" customHeight="1" x14ac:dyDescent="0.3">
      <c r="C78" s="171"/>
      <c r="D78" s="171"/>
      <c r="E78" s="171"/>
      <c r="F78" s="171"/>
      <c r="G78" s="171"/>
      <c r="H78" s="171"/>
      <c r="I78" s="171"/>
      <c r="J78" s="170"/>
      <c r="K78" s="170"/>
      <c r="L78" s="174"/>
      <c r="M78" s="170"/>
    </row>
    <row r="79" spans="2:15" s="159" customFormat="1" ht="18" customHeight="1" x14ac:dyDescent="0.35">
      <c r="C79" s="206" t="s">
        <v>423</v>
      </c>
      <c r="D79" s="206" t="s">
        <v>424</v>
      </c>
      <c r="E79" s="206" t="s">
        <v>439</v>
      </c>
      <c r="F79" s="206" t="s">
        <v>440</v>
      </c>
      <c r="H79" s="206"/>
      <c r="I79" s="206"/>
      <c r="J79" s="206"/>
      <c r="K79" s="170"/>
      <c r="L79" s="174"/>
      <c r="M79" s="170"/>
    </row>
    <row r="80" spans="2:15" s="159" customFormat="1" ht="18" customHeight="1" x14ac:dyDescent="0.3">
      <c r="B80" s="159" t="s">
        <v>422</v>
      </c>
      <c r="C80" s="246">
        <f>Salaire1</f>
        <v>0</v>
      </c>
      <c r="D80" s="246">
        <f>Salaire2</f>
        <v>0</v>
      </c>
      <c r="E80" s="246">
        <f>Salaire3</f>
        <v>0</v>
      </c>
      <c r="F80" s="246">
        <f>Salaire4</f>
        <v>0</v>
      </c>
      <c r="G80" s="171"/>
      <c r="I80" s="247"/>
      <c r="J80" s="247"/>
      <c r="K80" s="170"/>
      <c r="L80" s="174"/>
      <c r="M80" s="170"/>
    </row>
    <row r="81" spans="2:13" s="159" customFormat="1" ht="18" customHeight="1" x14ac:dyDescent="0.3">
      <c r="B81" s="159" t="s">
        <v>470</v>
      </c>
      <c r="C81" s="246" cm="1">
        <f t="array" ref="C81">IF(Salaire1&gt;salairemax,salairemax,Salaire1)</f>
        <v>0</v>
      </c>
      <c r="D81" s="246">
        <f>IF(Salaire2&gt;salairemax,salairemax,Salaire2)</f>
        <v>0</v>
      </c>
      <c r="E81" s="246">
        <f>IF(Salaire3&gt;salairemax,salairemax,Salaire3)</f>
        <v>0</v>
      </c>
      <c r="F81" s="246">
        <f>IF(Salaire4&gt;salairemax,salairemax,Salaire4)</f>
        <v>0</v>
      </c>
      <c r="G81" s="171"/>
      <c r="H81" s="171"/>
      <c r="I81" s="171"/>
      <c r="J81" s="170"/>
      <c r="K81" s="170"/>
      <c r="L81" s="174"/>
      <c r="M81" s="170"/>
    </row>
    <row r="82" spans="2:13" s="159" customFormat="1" ht="18" customHeight="1" x14ac:dyDescent="0.3">
      <c r="B82" s="159" t="s">
        <v>580</v>
      </c>
      <c r="C82" s="172">
        <f>'Plan de financement'!G55</f>
        <v>0</v>
      </c>
      <c r="D82" s="172">
        <f>'Plan de financement'!G58</f>
        <v>0</v>
      </c>
      <c r="E82" s="172">
        <f>'Plan de financement'!G61</f>
        <v>0</v>
      </c>
      <c r="F82" s="172">
        <f>'Plan de financement'!G64</f>
        <v>0</v>
      </c>
      <c r="G82" s="171"/>
      <c r="H82" s="171"/>
      <c r="I82" s="171"/>
      <c r="J82" s="170"/>
      <c r="K82" s="170"/>
      <c r="L82" s="174"/>
      <c r="M82" s="170"/>
    </row>
    <row r="83" spans="2:13" s="159" customFormat="1" ht="18" customHeight="1" x14ac:dyDescent="0.3">
      <c r="B83" s="159" t="s">
        <v>581</v>
      </c>
      <c r="C83" s="171">
        <f>IF(ISERROR(YEAR(C82)),"",YEAR(C82))</f>
        <v>1900</v>
      </c>
      <c r="D83" s="171">
        <f t="shared" ref="D83:F83" si="0">IF(ISERROR(YEAR(D82)),"",YEAR(D82))</f>
        <v>1900</v>
      </c>
      <c r="E83" s="171">
        <f t="shared" si="0"/>
        <v>1900</v>
      </c>
      <c r="F83" s="171">
        <f t="shared" si="0"/>
        <v>1900</v>
      </c>
      <c r="G83" s="171"/>
      <c r="H83" s="171"/>
      <c r="I83" s="171"/>
      <c r="J83" s="170"/>
      <c r="K83" s="170"/>
      <c r="L83" s="174"/>
      <c r="M83" s="170"/>
    </row>
    <row r="84" spans="2:13" s="159" customFormat="1" ht="18" customHeight="1" x14ac:dyDescent="0.3">
      <c r="B84" s="159" t="s">
        <v>582</v>
      </c>
      <c r="C84" s="171">
        <f>IF(ISERROR(MONTH(C82)),"",MONTH(C82))</f>
        <v>1</v>
      </c>
      <c r="D84" s="171">
        <f t="shared" ref="D84:F84" si="1">IF(ISERROR(MONTH(D82)),"",MONTH(D82))</f>
        <v>1</v>
      </c>
      <c r="E84" s="171">
        <f t="shared" si="1"/>
        <v>1</v>
      </c>
      <c r="F84" s="171">
        <f t="shared" si="1"/>
        <v>1</v>
      </c>
      <c r="G84" s="171"/>
      <c r="H84" s="171"/>
      <c r="I84" s="171"/>
      <c r="J84" s="170"/>
      <c r="K84" s="170"/>
      <c r="L84" s="174"/>
      <c r="M84" s="170"/>
    </row>
    <row r="85" spans="2:13" s="159" customFormat="1" ht="18" customHeight="1" x14ac:dyDescent="0.3">
      <c r="B85" s="159" t="s">
        <v>583</v>
      </c>
      <c r="C85" s="171">
        <f>(DATEDIF(IF(C82&lt;$C$55,$C$55,C82),$C$56,"m"))</f>
        <v>0</v>
      </c>
      <c r="D85" s="171">
        <f t="shared" ref="D85:F85" si="2">(DATEDIF(IF(D82&lt;$C$55,$C$55,D82),$C$56,"m"))</f>
        <v>0</v>
      </c>
      <c r="E85" s="171">
        <f t="shared" si="2"/>
        <v>0</v>
      </c>
      <c r="F85" s="171">
        <f t="shared" si="2"/>
        <v>0</v>
      </c>
      <c r="G85" s="171"/>
      <c r="H85" s="171"/>
      <c r="I85" s="171"/>
      <c r="J85" s="170"/>
      <c r="K85" s="170"/>
      <c r="L85" s="174"/>
      <c r="M85" s="170"/>
    </row>
    <row r="86" spans="2:13" s="159" customFormat="1" ht="18" customHeight="1" x14ac:dyDescent="0.3">
      <c r="B86" s="159" t="s">
        <v>584</v>
      </c>
      <c r="C86" s="249">
        <f>IF(C83&lt;$E$55,12,IF(C83=$E$55,12-C84,0))</f>
        <v>11</v>
      </c>
      <c r="D86" s="249">
        <f t="shared" ref="D86:F86" si="3">IF(D83&lt;$E$55,12,IF(D83=$E$55,12-D84,0))</f>
        <v>11</v>
      </c>
      <c r="E86" s="249">
        <f t="shared" si="3"/>
        <v>11</v>
      </c>
      <c r="F86" s="249">
        <f t="shared" si="3"/>
        <v>11</v>
      </c>
      <c r="G86" s="171"/>
      <c r="H86" s="171"/>
      <c r="I86" s="171"/>
      <c r="J86" s="170"/>
      <c r="K86" s="170"/>
      <c r="L86" s="174"/>
      <c r="M86" s="170"/>
    </row>
    <row r="87" spans="2:13" s="159" customFormat="1" ht="18" customHeight="1" x14ac:dyDescent="0.3">
      <c r="B87" s="159" t="s">
        <v>585</v>
      </c>
      <c r="C87" s="249">
        <f>IF(ISERROR(IF(AND(C93&gt;0,$C$85&gt;=12),12,$C$85-C86)),"",IF(AND(C93&gt;0,$C$85&gt;=12),12,$C$85-C86))</f>
        <v>-11</v>
      </c>
      <c r="D87" s="249">
        <f>IF(ISERROR(IF(AND(D93&gt;0,$D$85&gt;=12),12,$D$85-D86)),"",IF(AND(D93&gt;0,$D$85&gt;=12),12,$D$85-D86))</f>
        <v>-11</v>
      </c>
      <c r="E87" s="249">
        <f>IF(ISERROR(IF(AND(E93&gt;0,$E$85&gt;=12),12,$E$85-E86)),"",IF(AND(E93&gt;0,$E$85&gt;=12),12,$E$85-E86))</f>
        <v>-11</v>
      </c>
      <c r="F87" s="249">
        <f>IF(ISERROR(IF(AND(F93&gt;0,$F$85&gt;=12),12,$F$85-F86)),"",IF(AND(F93&gt;0,$F$85&gt;=12),12,$F$85-F86))</f>
        <v>-11</v>
      </c>
      <c r="G87" s="171"/>
      <c r="H87" s="171"/>
      <c r="I87" s="171"/>
      <c r="J87" s="170" t="s">
        <v>587</v>
      </c>
      <c r="K87" s="170"/>
      <c r="L87" s="174"/>
      <c r="M87" s="170"/>
    </row>
    <row r="88" spans="2:13" s="159" customFormat="1" ht="18" customHeight="1" x14ac:dyDescent="0.3">
      <c r="B88" s="159" t="s">
        <v>586</v>
      </c>
      <c r="C88" s="249">
        <f>IF(($C$85-C86-C87)&gt;12,12,$C$85-(C86+C87))</f>
        <v>0</v>
      </c>
      <c r="D88" s="249">
        <f>IF(($D$85-D86-D87)&gt;12,12,$D$85-(D86+D87))</f>
        <v>0</v>
      </c>
      <c r="E88" s="249">
        <f>IF(($E$85-E86-E87)&gt;12,12,$E$85-(E86+E87))</f>
        <v>0</v>
      </c>
      <c r="F88" s="249">
        <f>IF(($F$85-F86-F87)&gt;12,12,$F$85-(F86+F87))</f>
        <v>0</v>
      </c>
      <c r="G88" s="171"/>
      <c r="H88" s="171"/>
      <c r="I88" s="171"/>
      <c r="J88" s="170"/>
      <c r="K88" s="170"/>
      <c r="L88" s="174"/>
      <c r="M88" s="170"/>
    </row>
    <row r="89" spans="2:13" s="159" customFormat="1" ht="18" customHeight="1" x14ac:dyDescent="0.3">
      <c r="B89" s="159" t="s">
        <v>584</v>
      </c>
      <c r="C89" s="249">
        <f>IF(($C$85-C86-C87-C88)&gt;12,12,$C$85-(C86+C87+C88))</f>
        <v>0</v>
      </c>
      <c r="D89" s="249">
        <f>IF(($D$85-D86-D87-D88)&gt;12,12,$D$85-(D86+D87+D88))</f>
        <v>0</v>
      </c>
      <c r="E89" s="249">
        <f>IF(($E$85-E86-E87-E88)&gt;12,12,$E$85-(E86+E87+E88))</f>
        <v>0</v>
      </c>
      <c r="F89" s="249">
        <f>IF(($F$85-F86-F87-F88)&gt;12,12,$F$85-(F86+F87+F88))</f>
        <v>0</v>
      </c>
      <c r="G89" s="171"/>
      <c r="H89" s="171"/>
      <c r="I89" s="171"/>
      <c r="J89" s="170"/>
      <c r="K89" s="170"/>
      <c r="L89" s="174"/>
      <c r="M89" s="170"/>
    </row>
    <row r="90" spans="2:13" s="159" customFormat="1" ht="18" customHeight="1" x14ac:dyDescent="0.3">
      <c r="C90" s="251">
        <f>SUM(C86:C89)</f>
        <v>0</v>
      </c>
      <c r="D90" s="251">
        <f t="shared" ref="D90:F90" si="4">SUM(D86:D89)</f>
        <v>0</v>
      </c>
      <c r="E90" s="251">
        <f t="shared" si="4"/>
        <v>0</v>
      </c>
      <c r="F90" s="251">
        <f t="shared" si="4"/>
        <v>0</v>
      </c>
      <c r="G90" s="171"/>
      <c r="H90" s="171"/>
      <c r="I90" s="171"/>
      <c r="J90" s="170"/>
      <c r="K90" s="170"/>
      <c r="L90" s="174"/>
      <c r="M90" s="170"/>
    </row>
    <row r="91" spans="2:13" s="159" customFormat="1" ht="18" customHeight="1" x14ac:dyDescent="0.3">
      <c r="C91" s="251" t="str">
        <f>IF(C90&gt;C85,"PROBLEME","")</f>
        <v/>
      </c>
      <c r="D91" s="251" t="str">
        <f t="shared" ref="D91:F91" si="5">IF(D90&gt;D85,"PROBLEME","")</f>
        <v/>
      </c>
      <c r="E91" s="251" t="str">
        <f t="shared" si="5"/>
        <v/>
      </c>
      <c r="F91" s="251" t="str">
        <f t="shared" si="5"/>
        <v/>
      </c>
      <c r="G91" s="171"/>
      <c r="H91" s="171"/>
      <c r="I91" s="171"/>
      <c r="J91" s="170"/>
      <c r="K91" s="170"/>
      <c r="L91" s="174"/>
      <c r="M91" s="170"/>
    </row>
    <row r="92" spans="2:13" s="159" customFormat="1" ht="18" customHeight="1" x14ac:dyDescent="0.35">
      <c r="D92" s="206"/>
      <c r="E92" s="206"/>
      <c r="F92" s="206"/>
      <c r="G92" s="171"/>
      <c r="H92" s="171"/>
      <c r="I92" s="171"/>
      <c r="J92" s="170"/>
      <c r="K92" s="170"/>
      <c r="L92" s="174"/>
      <c r="M92" s="170"/>
    </row>
    <row r="93" spans="2:13" s="159" customFormat="1" ht="18" customHeight="1" x14ac:dyDescent="0.35">
      <c r="B93" s="205">
        <f>E55</f>
        <v>1900</v>
      </c>
      <c r="C93" s="248">
        <f>($C$81/12)*coeff*$C86</f>
        <v>0</v>
      </c>
      <c r="D93" s="248">
        <f>($D$81/12)*coeff*$D86</f>
        <v>0</v>
      </c>
      <c r="E93" s="248">
        <f>($E$81/12)*coeff*$E86</f>
        <v>0</v>
      </c>
      <c r="F93" s="248">
        <f>($F$81/12)*coeff*$F86</f>
        <v>0</v>
      </c>
      <c r="G93" s="171"/>
      <c r="H93" s="171"/>
      <c r="I93" s="171"/>
      <c r="J93" s="170"/>
      <c r="K93" s="170"/>
      <c r="L93" s="174"/>
      <c r="M93" s="170"/>
    </row>
    <row r="94" spans="2:13" s="159" customFormat="1" ht="18" customHeight="1" x14ac:dyDescent="0.35">
      <c r="B94" s="206">
        <f>IF($C$52&gt;=12,$E$55+1,0)</f>
        <v>0</v>
      </c>
      <c r="C94" s="248">
        <f>IF(C93&gt;0,(($C$81/12)*coeff*$C87)*(1+inflation),($C$81/12)*coeff*$C$87)</f>
        <v>0</v>
      </c>
      <c r="D94" s="248">
        <f>IF(D93&gt;0,(($D$81/12)*coeff*$D87)*(1+inflation),($D$81/12)*coeff*$D$87)</f>
        <v>0</v>
      </c>
      <c r="E94" s="248">
        <f>IF(E93&gt;0,(($E$81/12)*coeff*$E87)*(1+inflation),($E$81/12)*coeff*$E$87)</f>
        <v>0</v>
      </c>
      <c r="F94" s="248">
        <f>IF(F93&gt;0,(($F$81/12)*coeff*$F87)*(1+inflation),($F$81/12)*coeff*$F$87)</f>
        <v>0</v>
      </c>
      <c r="G94" s="171"/>
      <c r="H94" s="171"/>
      <c r="I94" s="171"/>
      <c r="J94" s="170"/>
      <c r="K94" s="170"/>
      <c r="L94" s="174"/>
      <c r="M94" s="170"/>
    </row>
    <row r="95" spans="2:13" s="159" customFormat="1" ht="18" customHeight="1" x14ac:dyDescent="0.35">
      <c r="B95" s="206" t="b">
        <f>IF($C$52&gt;=24,$E$55+2)</f>
        <v>0</v>
      </c>
      <c r="C95" s="248">
        <f>IF(C94&gt;0,(($C$81/12)*coeff*$C88)*(1+inflation),($C$81/12)*coeff*$C88)</f>
        <v>0</v>
      </c>
      <c r="D95" s="248">
        <f>IF(D94&gt;0,(($D$81/12)*coeff*$D88)*(1+inflation),($D$81/12)*coeff*$D88)</f>
        <v>0</v>
      </c>
      <c r="E95" s="248">
        <f>IF(E94&gt;0,(($E$81/12)*coeff*$E88)*(1+inflation),($E$81/12)*coeff*$E88)</f>
        <v>0</v>
      </c>
      <c r="F95" s="248">
        <f>IF(F94&gt;0,(($F$81/12)*coeff*$F88)*(1+inflation),($F$81/12)*coeff*$F88)</f>
        <v>0</v>
      </c>
      <c r="G95" s="171"/>
      <c r="H95" s="171"/>
      <c r="I95" s="171"/>
      <c r="J95" s="170"/>
      <c r="K95" s="170"/>
      <c r="L95" s="174"/>
      <c r="M95" s="170"/>
    </row>
    <row r="96" spans="2:13" s="159" customFormat="1" ht="18" customHeight="1" x14ac:dyDescent="0.35">
      <c r="B96" s="206">
        <f>IF($C$52&gt;36,$E$55+1,0)</f>
        <v>0</v>
      </c>
      <c r="C96" s="248">
        <f>IF(C95&gt;0,(($C$81/12)*coeff*$C89)*(1+inflation),($C$81/12)*coeff*$C89)</f>
        <v>0</v>
      </c>
      <c r="D96" s="248">
        <f>IF(D95&gt;0,(($D$81/12)*coeff*$D89)*(1+inflation),($D$81/12)*coeff*$D89)</f>
        <v>0</v>
      </c>
      <c r="E96" s="248">
        <f>IF(E95&gt;0,(($E$81/12)*coeff*$E89)*(1+inflation),($E$81/12)*coeff*$E89)</f>
        <v>0</v>
      </c>
      <c r="F96" s="248">
        <f>IF(F95&gt;0,(($F$81/12)*coeff*$F89)*(1+inflation),($F$81/12)*coeff*$F89)</f>
        <v>0</v>
      </c>
      <c r="G96" s="171"/>
      <c r="H96" s="171"/>
      <c r="I96" s="171"/>
      <c r="J96" s="170"/>
      <c r="K96" s="170"/>
      <c r="L96" s="174"/>
      <c r="M96" s="170"/>
    </row>
    <row r="97" spans="2:13" s="159" customFormat="1" ht="18" customHeight="1" x14ac:dyDescent="0.35">
      <c r="B97" s="206" t="s">
        <v>59</v>
      </c>
      <c r="C97" s="250">
        <f>SUM(C93:C96)</f>
        <v>0</v>
      </c>
      <c r="D97" s="250">
        <f t="shared" ref="D97:F97" si="6">SUM(D93:D96)</f>
        <v>0</v>
      </c>
      <c r="E97" s="250">
        <f t="shared" si="6"/>
        <v>0</v>
      </c>
      <c r="F97" s="250">
        <f t="shared" si="6"/>
        <v>0</v>
      </c>
      <c r="G97" s="171"/>
      <c r="H97" s="171"/>
      <c r="I97" s="171"/>
      <c r="J97" s="170"/>
      <c r="K97" s="170"/>
      <c r="L97" s="174"/>
      <c r="M97" s="170"/>
    </row>
    <row r="98" spans="2:13" s="159" customFormat="1" ht="18" customHeight="1" x14ac:dyDescent="0.3">
      <c r="C98" s="171"/>
      <c r="D98" s="171"/>
      <c r="E98" s="171"/>
      <c r="F98" s="171"/>
      <c r="G98" s="171"/>
      <c r="H98" s="171"/>
      <c r="I98" s="171"/>
      <c r="J98" s="170"/>
      <c r="K98" s="170"/>
      <c r="L98" s="174"/>
      <c r="M98" s="170"/>
    </row>
    <row r="99" spans="2:13" s="159" customFormat="1" ht="18" customHeight="1" x14ac:dyDescent="0.3">
      <c r="C99" s="171"/>
      <c r="D99" s="171"/>
      <c r="E99" s="171"/>
      <c r="F99" s="171"/>
      <c r="G99" s="171"/>
      <c r="H99" s="171"/>
      <c r="I99" s="171"/>
      <c r="J99" s="170"/>
      <c r="K99" s="170"/>
      <c r="L99" s="174"/>
      <c r="M99" s="170"/>
    </row>
    <row r="100" spans="2:13" s="159" customFormat="1" ht="18" customHeight="1" x14ac:dyDescent="0.3">
      <c r="C100" s="171"/>
      <c r="D100" s="171"/>
      <c r="E100" s="171"/>
      <c r="F100" s="171"/>
      <c r="G100" s="171"/>
      <c r="H100" s="171"/>
      <c r="I100" s="171"/>
      <c r="J100" s="170"/>
      <c r="K100" s="170"/>
      <c r="L100" s="174"/>
      <c r="M100" s="170"/>
    </row>
    <row r="101" spans="2:13" s="160" customFormat="1" ht="18" customHeight="1" x14ac:dyDescent="0.35">
      <c r="B101" s="161" t="s">
        <v>559</v>
      </c>
      <c r="C101" s="176"/>
      <c r="D101" s="176"/>
      <c r="I101" s="163"/>
    </row>
    <row r="102" spans="2:13" ht="18" customHeight="1" x14ac:dyDescent="0.3">
      <c r="B102" s="159" t="s">
        <v>465</v>
      </c>
      <c r="C102" s="164">
        <f>IF('Avis CPR (ar)'!C38=TRUE,1,0)</f>
        <v>1</v>
      </c>
      <c r="I102" s="27"/>
    </row>
    <row r="103" spans="2:13" ht="18" customHeight="1" x14ac:dyDescent="0.3">
      <c r="B103" s="159" t="s">
        <v>466</v>
      </c>
      <c r="C103" s="164">
        <f>IF('Avis CPR (ar)'!C39=TRUE,1,0)</f>
        <v>0</v>
      </c>
    </row>
    <row r="104" spans="2:13" ht="18" customHeight="1" x14ac:dyDescent="0.3"/>
    <row r="105" spans="2:13" ht="18" customHeight="1" x14ac:dyDescent="0.3"/>
    <row r="106" spans="2:13" ht="18" customHeight="1" x14ac:dyDescent="0.3"/>
    <row r="107" spans="2:13" ht="18" customHeight="1" x14ac:dyDescent="0.3"/>
    <row r="108" spans="2:13" ht="18" customHeight="1" x14ac:dyDescent="0.3"/>
    <row r="109" spans="2:13" ht="18" customHeight="1" x14ac:dyDescent="0.3"/>
    <row r="110" spans="2:13" ht="18" customHeight="1" x14ac:dyDescent="0.3"/>
    <row r="111" spans="2:13" ht="18" customHeight="1" x14ac:dyDescent="0.3"/>
    <row r="112" spans="2:13" ht="18" customHeight="1" x14ac:dyDescent="0.3"/>
  </sheetData>
  <mergeCells count="64">
    <mergeCell ref="K42:L42"/>
    <mergeCell ref="K37:L37"/>
    <mergeCell ref="K38:L38"/>
    <mergeCell ref="K39:L39"/>
    <mergeCell ref="K40:L40"/>
    <mergeCell ref="K41:L41"/>
    <mergeCell ref="K32:L32"/>
    <mergeCell ref="K33:L33"/>
    <mergeCell ref="K34:L34"/>
    <mergeCell ref="K35:L35"/>
    <mergeCell ref="K36:L36"/>
    <mergeCell ref="G43:H43"/>
    <mergeCell ref="K23:L23"/>
    <mergeCell ref="K25:L25"/>
    <mergeCell ref="K26:L26"/>
    <mergeCell ref="K27:L27"/>
    <mergeCell ref="K28:L28"/>
    <mergeCell ref="K29:L29"/>
    <mergeCell ref="K30:L30"/>
    <mergeCell ref="K31:L31"/>
    <mergeCell ref="G36:H36"/>
    <mergeCell ref="G37:H37"/>
    <mergeCell ref="G38:H38"/>
    <mergeCell ref="G39:H39"/>
    <mergeCell ref="G40:H40"/>
    <mergeCell ref="G41:H41"/>
    <mergeCell ref="K43:L43"/>
    <mergeCell ref="G32:H32"/>
    <mergeCell ref="G33:H33"/>
    <mergeCell ref="G34:H34"/>
    <mergeCell ref="G42:H42"/>
    <mergeCell ref="G35:H35"/>
    <mergeCell ref="C41:D41"/>
    <mergeCell ref="C42:D42"/>
    <mergeCell ref="C43:D43"/>
    <mergeCell ref="G24:H24"/>
    <mergeCell ref="G29:H29"/>
    <mergeCell ref="C35:D35"/>
    <mergeCell ref="C36:D36"/>
    <mergeCell ref="C37:D37"/>
    <mergeCell ref="C38:D38"/>
    <mergeCell ref="C39:D39"/>
    <mergeCell ref="C40:D40"/>
    <mergeCell ref="C30:D30"/>
    <mergeCell ref="C31:D31"/>
    <mergeCell ref="C32:D32"/>
    <mergeCell ref="G30:H30"/>
    <mergeCell ref="G31:H31"/>
    <mergeCell ref="K24:L24"/>
    <mergeCell ref="E61:E62"/>
    <mergeCell ref="C23:D23"/>
    <mergeCell ref="C33:D33"/>
    <mergeCell ref="C34:D34"/>
    <mergeCell ref="C24:D24"/>
    <mergeCell ref="C25:D25"/>
    <mergeCell ref="C26:D26"/>
    <mergeCell ref="C27:D27"/>
    <mergeCell ref="C28:D28"/>
    <mergeCell ref="C29:D29"/>
    <mergeCell ref="G23:H23"/>
    <mergeCell ref="G25:H25"/>
    <mergeCell ref="G26:H26"/>
    <mergeCell ref="G27:H27"/>
    <mergeCell ref="G28:H28"/>
  </mergeCells>
  <phoneticPr fontId="123" type="noConversion"/>
  <hyperlinks>
    <hyperlink ref="G42" r:id="rId1" xr:uid="{883B71A8-AC6E-4C9E-884F-6D558B6194C2}"/>
    <hyperlink ref="G41" r:id="rId2" xr:uid="{7335A215-E74C-4671-8DC2-0662D42557B1}"/>
    <hyperlink ref="G40" r:id="rId3" xr:uid="{962806A4-9AB7-49F7-A5BC-E4A216939FD3}"/>
    <hyperlink ref="G43" r:id="rId4" xr:uid="{CA67E523-323C-427C-BB0F-B739528768CE}"/>
    <hyperlink ref="G30" r:id="rId5" xr:uid="{DFA907FA-0E69-41BB-BDB9-E1A041E4FD75}"/>
    <hyperlink ref="G31" r:id="rId6" xr:uid="{1F7B1A59-4049-4683-AFCF-6FCEED91A4B1}"/>
    <hyperlink ref="G27" r:id="rId7" xr:uid="{562D33A5-8796-40D7-AE06-C1A4A50B0357}"/>
    <hyperlink ref="G32" r:id="rId8" xr:uid="{5CEB109F-5318-46EB-94F8-DCF2944D931C}"/>
    <hyperlink ref="G26" r:id="rId9" xr:uid="{4E691946-2071-438B-8A74-8E1BD18DEFF3}"/>
    <hyperlink ref="G29" r:id="rId10" xr:uid="{A27ED9AD-2777-441D-98BC-4E4204126261}"/>
    <hyperlink ref="G39" r:id="rId11" xr:uid="{11FC5FB1-A2EA-49A9-AB6F-258F3BDB6095}"/>
    <hyperlink ref="G24" r:id="rId12" xr:uid="{5FD76C8E-70CB-4024-A68A-FFF59A704DED}"/>
    <hyperlink ref="G33" r:id="rId13" xr:uid="{DD0A542A-8708-404C-81D9-CC463ACCDC1B}"/>
    <hyperlink ref="G36" r:id="rId14" xr:uid="{B5A41762-6F07-40BF-B574-6BEBFC3E0208}"/>
    <hyperlink ref="G38" r:id="rId15" xr:uid="{273ACF09-E15C-46FD-BE97-09BADDDD48D7}"/>
    <hyperlink ref="G25" r:id="rId16" xr:uid="{3B1CFDEE-F0C6-46E9-ADEC-E7326FDD7F23}"/>
    <hyperlink ref="G35" r:id="rId17" xr:uid="{2518A583-DBA7-4D32-84DC-266F5AA323A0}"/>
    <hyperlink ref="G28" r:id="rId18" xr:uid="{A0C07A4D-3E7C-4A78-B621-759C9F0FA805}"/>
    <hyperlink ref="G37" r:id="rId19" xr:uid="{6E69F248-4992-4CDA-AB6A-EFB3FB8DECE6}"/>
  </hyperlinks>
  <pageMargins left="0.7" right="0.7" top="0.75" bottom="0.75" header="0.3" footer="0.3"/>
  <pageSetup paperSize="9" orientation="portrait" verticalDpi="0" r:id="rId2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71F11-6DAA-4C8E-8299-3B714298DF3D}">
  <sheetPr codeName="Feuil14"/>
  <dimension ref="A1:E97"/>
  <sheetViews>
    <sheetView workbookViewId="0">
      <selection activeCell="G100" sqref="G100"/>
    </sheetView>
  </sheetViews>
  <sheetFormatPr baseColWidth="10" defaultRowHeight="14.5" x14ac:dyDescent="0.35"/>
  <cols>
    <col min="1" max="1" width="9.54296875" customWidth="1"/>
    <col min="2" max="5" width="15.54296875" customWidth="1"/>
  </cols>
  <sheetData>
    <row r="1" spans="1:5" s="154" customFormat="1" ht="26" x14ac:dyDescent="0.5">
      <c r="A1" s="155" t="s">
        <v>185</v>
      </c>
      <c r="B1" s="156" t="s">
        <v>5</v>
      </c>
      <c r="C1" s="156" t="s">
        <v>1</v>
      </c>
      <c r="D1" s="156" t="s">
        <v>186</v>
      </c>
      <c r="E1" s="156" t="s">
        <v>492</v>
      </c>
    </row>
    <row r="2" spans="1:5" ht="24.5" x14ac:dyDescent="0.35">
      <c r="A2" s="157" t="s">
        <v>384</v>
      </c>
      <c r="B2" s="157" t="s">
        <v>385</v>
      </c>
      <c r="C2" s="157" t="s">
        <v>383</v>
      </c>
      <c r="D2" s="157" t="s">
        <v>400</v>
      </c>
      <c r="E2" s="157" t="s">
        <v>489</v>
      </c>
    </row>
    <row r="3" spans="1:5" x14ac:dyDescent="0.35">
      <c r="A3" s="157" t="s">
        <v>356</v>
      </c>
      <c r="B3" s="157" t="s">
        <v>357</v>
      </c>
      <c r="C3" s="157" t="s">
        <v>353</v>
      </c>
      <c r="D3" s="157" t="s">
        <v>106</v>
      </c>
      <c r="E3" s="157" t="s">
        <v>106</v>
      </c>
    </row>
    <row r="4" spans="1:5" ht="24.5" x14ac:dyDescent="0.35">
      <c r="A4" s="157" t="s">
        <v>207</v>
      </c>
      <c r="B4" s="157" t="s">
        <v>208</v>
      </c>
      <c r="C4" s="157" t="s">
        <v>206</v>
      </c>
      <c r="D4" s="157" t="s">
        <v>400</v>
      </c>
      <c r="E4" s="157" t="s">
        <v>489</v>
      </c>
    </row>
    <row r="5" spans="1:5" ht="24.5" x14ac:dyDescent="0.35">
      <c r="A5" s="157" t="s">
        <v>375</v>
      </c>
      <c r="B5" s="157" t="s">
        <v>376</v>
      </c>
      <c r="C5" s="157" t="s">
        <v>369</v>
      </c>
      <c r="D5" s="157" t="s">
        <v>370</v>
      </c>
      <c r="E5" s="157" t="s">
        <v>369</v>
      </c>
    </row>
    <row r="6" spans="1:5" ht="24.5" x14ac:dyDescent="0.35">
      <c r="A6" s="157" t="s">
        <v>377</v>
      </c>
      <c r="B6" s="157" t="s">
        <v>378</v>
      </c>
      <c r="C6" s="157" t="s">
        <v>369</v>
      </c>
      <c r="D6" s="157" t="s">
        <v>370</v>
      </c>
      <c r="E6" s="157" t="s">
        <v>369</v>
      </c>
    </row>
    <row r="7" spans="1:5" ht="24.5" x14ac:dyDescent="0.35">
      <c r="A7" s="157" t="s">
        <v>379</v>
      </c>
      <c r="B7" s="157" t="s">
        <v>380</v>
      </c>
      <c r="C7" s="157" t="s">
        <v>369</v>
      </c>
      <c r="D7" s="157" t="s">
        <v>370</v>
      </c>
      <c r="E7" s="157" t="s">
        <v>369</v>
      </c>
    </row>
    <row r="8" spans="1:5" ht="24.5" x14ac:dyDescent="0.35">
      <c r="A8" s="157" t="s">
        <v>396</v>
      </c>
      <c r="B8" s="157" t="s">
        <v>397</v>
      </c>
      <c r="C8" s="157" t="s">
        <v>383</v>
      </c>
      <c r="D8" s="157" t="s">
        <v>400</v>
      </c>
      <c r="E8" s="157" t="s">
        <v>489</v>
      </c>
    </row>
    <row r="9" spans="1:5" ht="24.5" x14ac:dyDescent="0.35">
      <c r="A9" s="157" t="s">
        <v>255</v>
      </c>
      <c r="B9" s="157" t="s">
        <v>256</v>
      </c>
      <c r="C9" s="157" t="s">
        <v>250</v>
      </c>
      <c r="D9" s="157" t="s">
        <v>190</v>
      </c>
      <c r="E9" s="157" t="s">
        <v>190</v>
      </c>
    </row>
    <row r="10" spans="1:5" x14ac:dyDescent="0.35">
      <c r="A10" s="157" t="s">
        <v>330</v>
      </c>
      <c r="B10" s="157" t="s">
        <v>331</v>
      </c>
      <c r="C10" s="157" t="s">
        <v>321</v>
      </c>
      <c r="D10" s="157" t="s">
        <v>115</v>
      </c>
      <c r="E10" s="157" t="s">
        <v>115</v>
      </c>
    </row>
    <row r="11" spans="1:5" ht="24.5" x14ac:dyDescent="0.35">
      <c r="A11" s="157" t="s">
        <v>248</v>
      </c>
      <c r="B11" s="157" t="s">
        <v>249</v>
      </c>
      <c r="C11" s="157" t="s">
        <v>250</v>
      </c>
      <c r="D11" s="157" t="s">
        <v>190</v>
      </c>
      <c r="E11" s="157" t="s">
        <v>190</v>
      </c>
    </row>
    <row r="12" spans="1:5" ht="24.5" x14ac:dyDescent="0.35">
      <c r="A12" s="157" t="s">
        <v>295</v>
      </c>
      <c r="B12" s="157" t="s">
        <v>296</v>
      </c>
      <c r="C12" s="157" t="s">
        <v>294</v>
      </c>
      <c r="D12" s="157" t="s">
        <v>115</v>
      </c>
      <c r="E12" s="157" t="s">
        <v>115</v>
      </c>
    </row>
    <row r="13" spans="1:5" x14ac:dyDescent="0.35">
      <c r="A13" s="157" t="s">
        <v>328</v>
      </c>
      <c r="B13" s="157" t="s">
        <v>329</v>
      </c>
      <c r="C13" s="157" t="s">
        <v>321</v>
      </c>
      <c r="D13" s="157" t="s">
        <v>115</v>
      </c>
      <c r="E13" s="157" t="s">
        <v>115</v>
      </c>
    </row>
    <row r="14" spans="1:5" ht="24.5" x14ac:dyDescent="0.35">
      <c r="A14" s="157" t="s">
        <v>373</v>
      </c>
      <c r="B14" s="157" t="s">
        <v>374</v>
      </c>
      <c r="C14" s="157" t="s">
        <v>369</v>
      </c>
      <c r="D14" s="157" t="s">
        <v>370</v>
      </c>
      <c r="E14" s="157" t="s">
        <v>369</v>
      </c>
    </row>
    <row r="15" spans="1:5" x14ac:dyDescent="0.35">
      <c r="A15" s="157" t="s">
        <v>218</v>
      </c>
      <c r="B15" s="157" t="s">
        <v>219</v>
      </c>
      <c r="C15" s="157" t="s">
        <v>215</v>
      </c>
      <c r="D15" s="157" t="s">
        <v>108</v>
      </c>
      <c r="E15" s="157" t="s">
        <v>108</v>
      </c>
    </row>
    <row r="16" spans="1:5" ht="24.5" x14ac:dyDescent="0.35">
      <c r="A16" s="157" t="s">
        <v>211</v>
      </c>
      <c r="B16" s="157" t="s">
        <v>212</v>
      </c>
      <c r="C16" s="157" t="s">
        <v>206</v>
      </c>
      <c r="D16" s="157" t="s">
        <v>400</v>
      </c>
      <c r="E16" s="157" t="s">
        <v>489</v>
      </c>
    </row>
    <row r="17" spans="1:5" x14ac:dyDescent="0.35">
      <c r="A17" s="157" t="s">
        <v>358</v>
      </c>
      <c r="B17" s="157" t="s">
        <v>359</v>
      </c>
      <c r="C17" s="157" t="s">
        <v>360</v>
      </c>
      <c r="D17" s="157" t="s">
        <v>401</v>
      </c>
      <c r="E17" s="157" t="s">
        <v>110</v>
      </c>
    </row>
    <row r="18" spans="1:5" x14ac:dyDescent="0.35">
      <c r="A18" s="157" t="s">
        <v>365</v>
      </c>
      <c r="B18" s="157" t="s">
        <v>366</v>
      </c>
      <c r="C18" s="157" t="s">
        <v>360</v>
      </c>
      <c r="D18" s="157" t="s">
        <v>401</v>
      </c>
      <c r="E18" s="157" t="s">
        <v>110</v>
      </c>
    </row>
    <row r="19" spans="1:5" x14ac:dyDescent="0.35">
      <c r="A19" s="157" t="s">
        <v>246</v>
      </c>
      <c r="B19" s="157" t="s">
        <v>247</v>
      </c>
      <c r="C19" s="157" t="s">
        <v>105</v>
      </c>
      <c r="D19" s="157" t="s">
        <v>105</v>
      </c>
      <c r="E19" s="157" t="s">
        <v>491</v>
      </c>
    </row>
    <row r="20" spans="1:5" x14ac:dyDescent="0.35">
      <c r="A20" s="157" t="s">
        <v>303</v>
      </c>
      <c r="B20" s="157" t="s">
        <v>304</v>
      </c>
      <c r="C20" s="157" t="s">
        <v>305</v>
      </c>
      <c r="D20" s="157" t="s">
        <v>401</v>
      </c>
      <c r="E20" s="157" t="s">
        <v>110</v>
      </c>
    </row>
    <row r="21" spans="1:5" ht="24.5" x14ac:dyDescent="0.35">
      <c r="A21" s="157" t="s">
        <v>224</v>
      </c>
      <c r="B21" s="157" t="s">
        <v>225</v>
      </c>
      <c r="C21" s="157" t="s">
        <v>111</v>
      </c>
      <c r="D21" s="157" t="s">
        <v>402</v>
      </c>
      <c r="E21" s="157" t="s">
        <v>490</v>
      </c>
    </row>
    <row r="22" spans="1:5" x14ac:dyDescent="0.35">
      <c r="A22" s="157" t="s">
        <v>234</v>
      </c>
      <c r="B22" s="157" t="s">
        <v>235</v>
      </c>
      <c r="C22" s="157" t="s">
        <v>109</v>
      </c>
      <c r="D22" s="157" t="s">
        <v>109</v>
      </c>
      <c r="E22" s="157" t="s">
        <v>109</v>
      </c>
    </row>
    <row r="23" spans="1:5" x14ac:dyDescent="0.35">
      <c r="A23" s="157" t="s">
        <v>308</v>
      </c>
      <c r="B23" s="157" t="s">
        <v>309</v>
      </c>
      <c r="C23" s="157" t="s">
        <v>305</v>
      </c>
      <c r="D23" s="157" t="s">
        <v>401</v>
      </c>
      <c r="E23" s="157" t="s">
        <v>110</v>
      </c>
    </row>
    <row r="24" spans="1:5" x14ac:dyDescent="0.35">
      <c r="A24" s="157" t="s">
        <v>198</v>
      </c>
      <c r="B24" s="157" t="s">
        <v>199</v>
      </c>
      <c r="C24" s="157" t="s">
        <v>195</v>
      </c>
      <c r="D24" s="157" t="s">
        <v>401</v>
      </c>
      <c r="E24" s="157" t="s">
        <v>110</v>
      </c>
    </row>
    <row r="25" spans="1:5" ht="24.5" x14ac:dyDescent="0.35">
      <c r="A25" s="157" t="s">
        <v>264</v>
      </c>
      <c r="B25" s="157" t="s">
        <v>265</v>
      </c>
      <c r="C25" s="157" t="s">
        <v>112</v>
      </c>
      <c r="D25" s="157" t="s">
        <v>402</v>
      </c>
      <c r="E25" s="157" t="s">
        <v>490</v>
      </c>
    </row>
    <row r="26" spans="1:5" ht="24.5" x14ac:dyDescent="0.35">
      <c r="A26" s="157" t="s">
        <v>394</v>
      </c>
      <c r="B26" s="157" t="s">
        <v>395</v>
      </c>
      <c r="C26" s="157" t="s">
        <v>383</v>
      </c>
      <c r="D26" s="157" t="s">
        <v>400</v>
      </c>
      <c r="E26" s="157" t="s">
        <v>489</v>
      </c>
    </row>
    <row r="27" spans="1:5" x14ac:dyDescent="0.35">
      <c r="A27" s="157" t="s">
        <v>270</v>
      </c>
      <c r="B27" s="157" t="s">
        <v>271</v>
      </c>
      <c r="C27" s="157" t="s">
        <v>272</v>
      </c>
      <c r="D27" s="157" t="s">
        <v>108</v>
      </c>
      <c r="E27" s="157" t="s">
        <v>108</v>
      </c>
    </row>
    <row r="28" spans="1:5" x14ac:dyDescent="0.35">
      <c r="A28" s="157" t="s">
        <v>238</v>
      </c>
      <c r="B28" s="157" t="s">
        <v>239</v>
      </c>
      <c r="C28" s="157" t="s">
        <v>105</v>
      </c>
      <c r="D28" s="157" t="s">
        <v>105</v>
      </c>
      <c r="E28" s="157" t="s">
        <v>491</v>
      </c>
    </row>
    <row r="29" spans="1:5" x14ac:dyDescent="0.35">
      <c r="A29" s="157" t="s">
        <v>232</v>
      </c>
      <c r="B29" s="157" t="s">
        <v>233</v>
      </c>
      <c r="C29" s="157" t="s">
        <v>109</v>
      </c>
      <c r="D29" s="157" t="s">
        <v>109</v>
      </c>
      <c r="E29" s="157" t="s">
        <v>109</v>
      </c>
    </row>
    <row r="30" spans="1:5" x14ac:dyDescent="0.35">
      <c r="A30" s="157" t="s">
        <v>257</v>
      </c>
      <c r="B30" s="157" t="s">
        <v>258</v>
      </c>
      <c r="C30" s="157" t="s">
        <v>259</v>
      </c>
      <c r="D30" s="157" t="s">
        <v>259</v>
      </c>
      <c r="E30" s="157" t="s">
        <v>259</v>
      </c>
    </row>
    <row r="31" spans="1:5" x14ac:dyDescent="0.35">
      <c r="A31" s="157" t="s">
        <v>260</v>
      </c>
      <c r="B31" s="157" t="s">
        <v>261</v>
      </c>
      <c r="C31" s="157" t="s">
        <v>259</v>
      </c>
      <c r="D31" s="157" t="s">
        <v>259</v>
      </c>
      <c r="E31" s="157" t="s">
        <v>259</v>
      </c>
    </row>
    <row r="32" spans="1:5" ht="24.5" x14ac:dyDescent="0.35">
      <c r="A32" s="157" t="s">
        <v>297</v>
      </c>
      <c r="B32" s="157" t="s">
        <v>298</v>
      </c>
      <c r="C32" s="157" t="s">
        <v>294</v>
      </c>
      <c r="D32" s="157" t="s">
        <v>115</v>
      </c>
      <c r="E32" s="157" t="s">
        <v>115</v>
      </c>
    </row>
    <row r="33" spans="1:5" x14ac:dyDescent="0.35">
      <c r="A33" s="157" t="s">
        <v>319</v>
      </c>
      <c r="B33" s="157" t="s">
        <v>320</v>
      </c>
      <c r="C33" s="157" t="s">
        <v>321</v>
      </c>
      <c r="D33" s="157" t="s">
        <v>115</v>
      </c>
      <c r="E33" s="157" t="s">
        <v>115</v>
      </c>
    </row>
    <row r="34" spans="1:5" x14ac:dyDescent="0.35">
      <c r="A34" s="157" t="s">
        <v>334</v>
      </c>
      <c r="B34" s="157" t="s">
        <v>335</v>
      </c>
      <c r="C34" s="157" t="s">
        <v>321</v>
      </c>
      <c r="D34" s="157" t="s">
        <v>115</v>
      </c>
      <c r="E34" s="157" t="s">
        <v>115</v>
      </c>
    </row>
    <row r="35" spans="1:5" x14ac:dyDescent="0.35">
      <c r="A35" s="157" t="s">
        <v>193</v>
      </c>
      <c r="B35" s="157" t="s">
        <v>194</v>
      </c>
      <c r="C35" s="157" t="s">
        <v>195</v>
      </c>
      <c r="D35" s="157" t="s">
        <v>401</v>
      </c>
      <c r="E35" s="157" t="s">
        <v>110</v>
      </c>
    </row>
    <row r="36" spans="1:5" ht="24.5" x14ac:dyDescent="0.35">
      <c r="A36" s="157" t="s">
        <v>292</v>
      </c>
      <c r="B36" s="157" t="s">
        <v>293</v>
      </c>
      <c r="C36" s="157" t="s">
        <v>294</v>
      </c>
      <c r="D36" s="157" t="s">
        <v>115</v>
      </c>
      <c r="E36" s="157" t="s">
        <v>115</v>
      </c>
    </row>
    <row r="37" spans="1:5" x14ac:dyDescent="0.35">
      <c r="A37" s="157" t="s">
        <v>228</v>
      </c>
      <c r="B37" s="157" t="s">
        <v>229</v>
      </c>
      <c r="C37" s="157" t="s">
        <v>109</v>
      </c>
      <c r="D37" s="157" t="s">
        <v>109</v>
      </c>
      <c r="E37" s="157" t="s">
        <v>109</v>
      </c>
    </row>
    <row r="38" spans="1:5" x14ac:dyDescent="0.35">
      <c r="A38" s="157" t="s">
        <v>244</v>
      </c>
      <c r="B38" s="157" t="s">
        <v>245</v>
      </c>
      <c r="C38" s="157" t="s">
        <v>105</v>
      </c>
      <c r="D38" s="157" t="s">
        <v>105</v>
      </c>
      <c r="E38" s="157" t="s">
        <v>491</v>
      </c>
    </row>
    <row r="39" spans="1:5" x14ac:dyDescent="0.35">
      <c r="A39" s="157" t="s">
        <v>242</v>
      </c>
      <c r="B39" s="157" t="s">
        <v>243</v>
      </c>
      <c r="C39" s="157" t="s">
        <v>105</v>
      </c>
      <c r="D39" s="157" t="s">
        <v>105</v>
      </c>
      <c r="E39" s="157" t="s">
        <v>491</v>
      </c>
    </row>
    <row r="40" spans="1:5" ht="24.5" x14ac:dyDescent="0.35">
      <c r="A40" s="157" t="s">
        <v>390</v>
      </c>
      <c r="B40" s="157" t="s">
        <v>391</v>
      </c>
      <c r="C40" s="157" t="s">
        <v>383</v>
      </c>
      <c r="D40" s="157" t="s">
        <v>400</v>
      </c>
      <c r="E40" s="157" t="s">
        <v>489</v>
      </c>
    </row>
    <row r="41" spans="1:5" ht="24.5" x14ac:dyDescent="0.35">
      <c r="A41" s="157" t="s">
        <v>262</v>
      </c>
      <c r="B41" s="157" t="s">
        <v>263</v>
      </c>
      <c r="C41" s="157" t="s">
        <v>112</v>
      </c>
      <c r="D41" s="157" t="s">
        <v>402</v>
      </c>
      <c r="E41" s="157" t="s">
        <v>490</v>
      </c>
    </row>
    <row r="42" spans="1:5" x14ac:dyDescent="0.35">
      <c r="A42" s="157" t="s">
        <v>196</v>
      </c>
      <c r="B42" s="157" t="s">
        <v>197</v>
      </c>
      <c r="C42" s="157" t="s">
        <v>195</v>
      </c>
      <c r="D42" s="157" t="s">
        <v>401</v>
      </c>
      <c r="E42" s="157" t="s">
        <v>110</v>
      </c>
    </row>
    <row r="43" spans="1:5" x14ac:dyDescent="0.35">
      <c r="A43" s="157" t="s">
        <v>236</v>
      </c>
      <c r="B43" s="157" t="s">
        <v>237</v>
      </c>
      <c r="C43" s="157" t="s">
        <v>105</v>
      </c>
      <c r="D43" s="157" t="s">
        <v>105</v>
      </c>
      <c r="E43" s="157" t="s">
        <v>491</v>
      </c>
    </row>
    <row r="44" spans="1:5" ht="24.5" x14ac:dyDescent="0.35">
      <c r="A44" s="157" t="s">
        <v>386</v>
      </c>
      <c r="B44" s="157" t="s">
        <v>387</v>
      </c>
      <c r="C44" s="157" t="s">
        <v>383</v>
      </c>
      <c r="D44" s="157" t="s">
        <v>400</v>
      </c>
      <c r="E44" s="157" t="s">
        <v>489</v>
      </c>
    </row>
    <row r="45" spans="1:5" ht="24.5" x14ac:dyDescent="0.35">
      <c r="A45" s="157" t="s">
        <v>204</v>
      </c>
      <c r="B45" s="157" t="s">
        <v>205</v>
      </c>
      <c r="C45" s="157" t="s">
        <v>206</v>
      </c>
      <c r="D45" s="157" t="s">
        <v>400</v>
      </c>
      <c r="E45" s="157" t="s">
        <v>489</v>
      </c>
    </row>
    <row r="46" spans="1:5" x14ac:dyDescent="0.35">
      <c r="A46" s="157" t="s">
        <v>345</v>
      </c>
      <c r="B46" s="157" t="s">
        <v>346</v>
      </c>
      <c r="C46" s="157" t="s">
        <v>107</v>
      </c>
      <c r="D46" s="157" t="s">
        <v>107</v>
      </c>
      <c r="E46" s="157" t="s">
        <v>107</v>
      </c>
    </row>
    <row r="47" spans="1:5" x14ac:dyDescent="0.35">
      <c r="A47" s="157" t="s">
        <v>240</v>
      </c>
      <c r="B47" s="157" t="s">
        <v>241</v>
      </c>
      <c r="C47" s="157" t="s">
        <v>105</v>
      </c>
      <c r="D47" s="157" t="s">
        <v>105</v>
      </c>
      <c r="E47" s="157" t="s">
        <v>491</v>
      </c>
    </row>
    <row r="48" spans="1:5" x14ac:dyDescent="0.35">
      <c r="A48" s="157" t="s">
        <v>326</v>
      </c>
      <c r="B48" s="157" t="s">
        <v>327</v>
      </c>
      <c r="C48" s="157" t="s">
        <v>321</v>
      </c>
      <c r="D48" s="157" t="s">
        <v>115</v>
      </c>
      <c r="E48" s="157" t="s">
        <v>115</v>
      </c>
    </row>
    <row r="49" spans="1:5" x14ac:dyDescent="0.35">
      <c r="A49" s="157" t="s">
        <v>202</v>
      </c>
      <c r="B49" s="157" t="s">
        <v>203</v>
      </c>
      <c r="C49" s="157" t="s">
        <v>195</v>
      </c>
      <c r="D49" s="157" t="s">
        <v>401</v>
      </c>
      <c r="E49" s="157" t="s">
        <v>110</v>
      </c>
    </row>
    <row r="50" spans="1:5" ht="24.5" x14ac:dyDescent="0.35">
      <c r="A50" s="157" t="s">
        <v>299</v>
      </c>
      <c r="B50" s="157" t="s">
        <v>300</v>
      </c>
      <c r="C50" s="157" t="s">
        <v>294</v>
      </c>
      <c r="D50" s="157" t="s">
        <v>115</v>
      </c>
      <c r="E50" s="157" t="s">
        <v>115</v>
      </c>
    </row>
    <row r="51" spans="1:5" x14ac:dyDescent="0.35">
      <c r="A51" s="157" t="s">
        <v>349</v>
      </c>
      <c r="B51" s="157" t="s">
        <v>350</v>
      </c>
      <c r="C51" s="157" t="s">
        <v>107</v>
      </c>
      <c r="D51" s="157" t="s">
        <v>107</v>
      </c>
      <c r="E51" s="157" t="s">
        <v>107</v>
      </c>
    </row>
    <row r="52" spans="1:5" x14ac:dyDescent="0.35">
      <c r="A52" s="157" t="s">
        <v>216</v>
      </c>
      <c r="B52" s="157" t="s">
        <v>217</v>
      </c>
      <c r="C52" s="157" t="s">
        <v>215</v>
      </c>
      <c r="D52" s="157" t="s">
        <v>108</v>
      </c>
      <c r="E52" s="157" t="s">
        <v>108</v>
      </c>
    </row>
    <row r="53" spans="1:5" ht="24.5" x14ac:dyDescent="0.35">
      <c r="A53" s="157" t="s">
        <v>251</v>
      </c>
      <c r="B53" s="157" t="s">
        <v>252</v>
      </c>
      <c r="C53" s="157" t="s">
        <v>250</v>
      </c>
      <c r="D53" s="157" t="s">
        <v>190</v>
      </c>
      <c r="E53" s="157" t="s">
        <v>190</v>
      </c>
    </row>
    <row r="54" spans="1:5" ht="24.5" x14ac:dyDescent="0.35">
      <c r="A54" s="157" t="s">
        <v>253</v>
      </c>
      <c r="B54" s="157" t="s">
        <v>254</v>
      </c>
      <c r="C54" s="157" t="s">
        <v>250</v>
      </c>
      <c r="D54" s="157" t="s">
        <v>190</v>
      </c>
      <c r="E54" s="157" t="s">
        <v>190</v>
      </c>
    </row>
    <row r="55" spans="1:5" x14ac:dyDescent="0.35">
      <c r="A55" s="157" t="s">
        <v>347</v>
      </c>
      <c r="B55" s="157" t="s">
        <v>348</v>
      </c>
      <c r="C55" s="157" t="s">
        <v>107</v>
      </c>
      <c r="D55" s="157" t="s">
        <v>107</v>
      </c>
      <c r="E55" s="157" t="s">
        <v>107</v>
      </c>
    </row>
    <row r="56" spans="1:5" x14ac:dyDescent="0.35">
      <c r="A56" s="157" t="s">
        <v>313</v>
      </c>
      <c r="B56" s="157" t="s">
        <v>314</v>
      </c>
      <c r="C56" s="157" t="s">
        <v>312</v>
      </c>
      <c r="D56" s="157" t="s">
        <v>190</v>
      </c>
      <c r="E56" s="157" t="s">
        <v>190</v>
      </c>
    </row>
    <row r="57" spans="1:5" x14ac:dyDescent="0.35">
      <c r="A57" s="157" t="s">
        <v>315</v>
      </c>
      <c r="B57" s="157" t="s">
        <v>316</v>
      </c>
      <c r="C57" s="157" t="s">
        <v>312</v>
      </c>
      <c r="D57" s="157" t="s">
        <v>190</v>
      </c>
      <c r="E57" s="157" t="s">
        <v>190</v>
      </c>
    </row>
    <row r="58" spans="1:5" x14ac:dyDescent="0.35">
      <c r="A58" s="157" t="s">
        <v>230</v>
      </c>
      <c r="B58" s="157" t="s">
        <v>231</v>
      </c>
      <c r="C58" s="157" t="s">
        <v>109</v>
      </c>
      <c r="D58" s="157" t="s">
        <v>109</v>
      </c>
      <c r="E58" s="157" t="s">
        <v>109</v>
      </c>
    </row>
    <row r="59" spans="1:5" x14ac:dyDescent="0.35">
      <c r="A59" s="157" t="s">
        <v>317</v>
      </c>
      <c r="B59" s="157" t="s">
        <v>318</v>
      </c>
      <c r="C59" s="157" t="s">
        <v>312</v>
      </c>
      <c r="D59" s="157" t="s">
        <v>190</v>
      </c>
      <c r="E59" s="157" t="s">
        <v>190</v>
      </c>
    </row>
    <row r="60" spans="1:5" ht="24.5" x14ac:dyDescent="0.35">
      <c r="A60" s="157" t="s">
        <v>222</v>
      </c>
      <c r="B60" s="157" t="s">
        <v>223</v>
      </c>
      <c r="C60" s="157" t="s">
        <v>111</v>
      </c>
      <c r="D60" s="157" t="s">
        <v>402</v>
      </c>
      <c r="E60" s="157" t="s">
        <v>490</v>
      </c>
    </row>
    <row r="61" spans="1:5" x14ac:dyDescent="0.35">
      <c r="A61" s="157" t="s">
        <v>336</v>
      </c>
      <c r="B61" s="157" t="s">
        <v>337</v>
      </c>
      <c r="C61" s="157" t="s">
        <v>338</v>
      </c>
      <c r="D61" s="157" t="s">
        <v>106</v>
      </c>
      <c r="E61" s="157" t="s">
        <v>106</v>
      </c>
    </row>
    <row r="62" spans="1:5" x14ac:dyDescent="0.35">
      <c r="A62" s="157" t="s">
        <v>351</v>
      </c>
      <c r="B62" s="157" t="s">
        <v>352</v>
      </c>
      <c r="C62" s="157" t="s">
        <v>353</v>
      </c>
      <c r="D62" s="157" t="s">
        <v>106</v>
      </c>
      <c r="E62" s="157" t="s">
        <v>106</v>
      </c>
    </row>
    <row r="63" spans="1:5" x14ac:dyDescent="0.35">
      <c r="A63" s="157" t="s">
        <v>213</v>
      </c>
      <c r="B63" s="157" t="s">
        <v>214</v>
      </c>
      <c r="C63" s="157" t="s">
        <v>215</v>
      </c>
      <c r="D63" s="157" t="s">
        <v>108</v>
      </c>
      <c r="E63" s="157" t="s">
        <v>108</v>
      </c>
    </row>
    <row r="64" spans="1:5" x14ac:dyDescent="0.35">
      <c r="A64" s="157" t="s">
        <v>339</v>
      </c>
      <c r="B64" s="157" t="s">
        <v>340</v>
      </c>
      <c r="C64" s="157" t="s">
        <v>338</v>
      </c>
      <c r="D64" s="157" t="s">
        <v>106</v>
      </c>
      <c r="E64" s="157" t="s">
        <v>106</v>
      </c>
    </row>
    <row r="65" spans="1:5" ht="24.5" x14ac:dyDescent="0.35">
      <c r="A65" s="157" t="s">
        <v>209</v>
      </c>
      <c r="B65" s="157" t="s">
        <v>210</v>
      </c>
      <c r="C65" s="157" t="s">
        <v>206</v>
      </c>
      <c r="D65" s="157" t="s">
        <v>400</v>
      </c>
      <c r="E65" s="157" t="s">
        <v>489</v>
      </c>
    </row>
    <row r="66" spans="1:5" ht="24.5" x14ac:dyDescent="0.35">
      <c r="A66" s="157" t="s">
        <v>200</v>
      </c>
      <c r="B66" s="157" t="s">
        <v>201</v>
      </c>
      <c r="C66" s="157" t="s">
        <v>195</v>
      </c>
      <c r="D66" s="157" t="s">
        <v>401</v>
      </c>
      <c r="E66" s="157" t="s">
        <v>110</v>
      </c>
    </row>
    <row r="67" spans="1:5" x14ac:dyDescent="0.35">
      <c r="A67" s="157" t="s">
        <v>332</v>
      </c>
      <c r="B67" s="157" t="s">
        <v>333</v>
      </c>
      <c r="C67" s="157" t="s">
        <v>321</v>
      </c>
      <c r="D67" s="157" t="s">
        <v>115</v>
      </c>
      <c r="E67" s="157" t="s">
        <v>115</v>
      </c>
    </row>
    <row r="68" spans="1:5" ht="24.5" x14ac:dyDescent="0.35">
      <c r="A68" s="157" t="s">
        <v>301</v>
      </c>
      <c r="B68" s="157" t="s">
        <v>302</v>
      </c>
      <c r="C68" s="157" t="s">
        <v>294</v>
      </c>
      <c r="D68" s="157" t="s">
        <v>115</v>
      </c>
      <c r="E68" s="157" t="s">
        <v>115</v>
      </c>
    </row>
    <row r="69" spans="1:5" x14ac:dyDescent="0.35">
      <c r="A69" s="157" t="s">
        <v>191</v>
      </c>
      <c r="B69" s="157" t="s">
        <v>192</v>
      </c>
      <c r="C69" s="157" t="s">
        <v>189</v>
      </c>
      <c r="D69" s="157" t="s">
        <v>190</v>
      </c>
      <c r="E69" s="157" t="s">
        <v>190</v>
      </c>
    </row>
    <row r="70" spans="1:5" x14ac:dyDescent="0.35">
      <c r="A70" s="157" t="s">
        <v>187</v>
      </c>
      <c r="B70" s="157" t="s">
        <v>188</v>
      </c>
      <c r="C70" s="157" t="s">
        <v>189</v>
      </c>
      <c r="D70" s="157" t="s">
        <v>190</v>
      </c>
      <c r="E70" s="157" t="s">
        <v>190</v>
      </c>
    </row>
    <row r="71" spans="1:5" ht="24.5" x14ac:dyDescent="0.35">
      <c r="A71" s="157" t="s">
        <v>381</v>
      </c>
      <c r="B71" s="157" t="s">
        <v>382</v>
      </c>
      <c r="C71" s="157" t="s">
        <v>383</v>
      </c>
      <c r="D71" s="157" t="s">
        <v>400</v>
      </c>
      <c r="E71" s="157" t="s">
        <v>489</v>
      </c>
    </row>
    <row r="72" spans="1:5" ht="24.5" x14ac:dyDescent="0.35">
      <c r="A72" s="157" t="s">
        <v>266</v>
      </c>
      <c r="B72" s="157" t="s">
        <v>267</v>
      </c>
      <c r="C72" s="157" t="s">
        <v>112</v>
      </c>
      <c r="D72" s="157" t="s">
        <v>402</v>
      </c>
      <c r="E72" s="157" t="s">
        <v>490</v>
      </c>
    </row>
    <row r="73" spans="1:5" ht="24.5" x14ac:dyDescent="0.35">
      <c r="A73" s="157" t="s">
        <v>220</v>
      </c>
      <c r="B73" s="157" t="s">
        <v>221</v>
      </c>
      <c r="C73" s="157" t="s">
        <v>111</v>
      </c>
      <c r="D73" s="157" t="s">
        <v>402</v>
      </c>
      <c r="E73" s="157" t="s">
        <v>490</v>
      </c>
    </row>
    <row r="74" spans="1:5" x14ac:dyDescent="0.35">
      <c r="A74" s="157" t="s">
        <v>341</v>
      </c>
      <c r="B74" s="157" t="s">
        <v>342</v>
      </c>
      <c r="C74" s="157" t="s">
        <v>107</v>
      </c>
      <c r="D74" s="157" t="s">
        <v>107</v>
      </c>
      <c r="E74" s="157" t="s">
        <v>107</v>
      </c>
    </row>
    <row r="75" spans="1:5" ht="24.5" x14ac:dyDescent="0.35">
      <c r="A75" s="157" t="s">
        <v>392</v>
      </c>
      <c r="B75" s="157" t="s">
        <v>393</v>
      </c>
      <c r="C75" s="157" t="s">
        <v>383</v>
      </c>
      <c r="D75" s="157" t="s">
        <v>400</v>
      </c>
      <c r="E75" s="157" t="s">
        <v>489</v>
      </c>
    </row>
    <row r="76" spans="1:5" ht="24.5" x14ac:dyDescent="0.35">
      <c r="A76" s="157" t="s">
        <v>388</v>
      </c>
      <c r="B76" s="157" t="s">
        <v>389</v>
      </c>
      <c r="C76" s="157" t="s">
        <v>383</v>
      </c>
      <c r="D76" s="157" t="s">
        <v>400</v>
      </c>
      <c r="E76" s="157" t="s">
        <v>489</v>
      </c>
    </row>
    <row r="77" spans="1:5" x14ac:dyDescent="0.35">
      <c r="A77" s="157" t="s">
        <v>285</v>
      </c>
      <c r="B77" s="157" t="s">
        <v>78</v>
      </c>
      <c r="C77" s="157" t="s">
        <v>277</v>
      </c>
      <c r="D77" s="157" t="s">
        <v>278</v>
      </c>
      <c r="E77" s="157" t="s">
        <v>278</v>
      </c>
    </row>
    <row r="78" spans="1:5" x14ac:dyDescent="0.35">
      <c r="A78" s="157" t="s">
        <v>273</v>
      </c>
      <c r="B78" s="157" t="s">
        <v>274</v>
      </c>
      <c r="C78" s="157" t="s">
        <v>272</v>
      </c>
      <c r="D78" s="157" t="s">
        <v>108</v>
      </c>
      <c r="E78" s="157" t="s">
        <v>108</v>
      </c>
    </row>
    <row r="79" spans="1:5" x14ac:dyDescent="0.35">
      <c r="A79" s="157" t="s">
        <v>290</v>
      </c>
      <c r="B79" s="157" t="s">
        <v>291</v>
      </c>
      <c r="C79" s="157" t="s">
        <v>277</v>
      </c>
      <c r="D79" s="157" t="s">
        <v>278</v>
      </c>
      <c r="E79" s="157" t="s">
        <v>278</v>
      </c>
    </row>
    <row r="80" spans="1:5" x14ac:dyDescent="0.35">
      <c r="A80" s="157" t="s">
        <v>286</v>
      </c>
      <c r="B80" s="157" t="s">
        <v>287</v>
      </c>
      <c r="C80" s="157" t="s">
        <v>277</v>
      </c>
      <c r="D80" s="157" t="s">
        <v>278</v>
      </c>
      <c r="E80" s="157" t="s">
        <v>278</v>
      </c>
    </row>
    <row r="81" spans="1:5" x14ac:dyDescent="0.35">
      <c r="A81" s="157" t="s">
        <v>363</v>
      </c>
      <c r="B81" s="157" t="s">
        <v>364</v>
      </c>
      <c r="C81" s="157" t="s">
        <v>360</v>
      </c>
      <c r="D81" s="157" t="s">
        <v>401</v>
      </c>
      <c r="E81" s="157" t="s">
        <v>110</v>
      </c>
    </row>
    <row r="82" spans="1:5" x14ac:dyDescent="0.35">
      <c r="A82" s="157" t="s">
        <v>354</v>
      </c>
      <c r="B82" s="157" t="s">
        <v>355</v>
      </c>
      <c r="C82" s="157" t="s">
        <v>353</v>
      </c>
      <c r="D82" s="157" t="s">
        <v>106</v>
      </c>
      <c r="E82" s="157" t="s">
        <v>106</v>
      </c>
    </row>
    <row r="83" spans="1:5" x14ac:dyDescent="0.35">
      <c r="A83" s="157" t="s">
        <v>324</v>
      </c>
      <c r="B83" s="157" t="s">
        <v>325</v>
      </c>
      <c r="C83" s="157" t="s">
        <v>321</v>
      </c>
      <c r="D83" s="157" t="s">
        <v>115</v>
      </c>
      <c r="E83" s="157" t="s">
        <v>115</v>
      </c>
    </row>
    <row r="84" spans="1:5" x14ac:dyDescent="0.35">
      <c r="A84" s="157" t="s">
        <v>322</v>
      </c>
      <c r="B84" s="157" t="s">
        <v>323</v>
      </c>
      <c r="C84" s="157" t="s">
        <v>321</v>
      </c>
      <c r="D84" s="157" t="s">
        <v>115</v>
      </c>
      <c r="E84" s="157" t="s">
        <v>115</v>
      </c>
    </row>
    <row r="85" spans="1:5" ht="24.5" x14ac:dyDescent="0.35">
      <c r="A85" s="157" t="s">
        <v>367</v>
      </c>
      <c r="B85" s="157" t="s">
        <v>368</v>
      </c>
      <c r="C85" s="157" t="s">
        <v>369</v>
      </c>
      <c r="D85" s="157" t="s">
        <v>370</v>
      </c>
      <c r="E85" s="157" t="s">
        <v>369</v>
      </c>
    </row>
    <row r="86" spans="1:5" ht="24.5" x14ac:dyDescent="0.35">
      <c r="A86" s="157" t="s">
        <v>371</v>
      </c>
      <c r="B86" s="157" t="s">
        <v>372</v>
      </c>
      <c r="C86" s="157" t="s">
        <v>369</v>
      </c>
      <c r="D86" s="157" t="s">
        <v>370</v>
      </c>
      <c r="E86" s="157" t="s">
        <v>369</v>
      </c>
    </row>
    <row r="87" spans="1:5" x14ac:dyDescent="0.35">
      <c r="A87" s="157" t="s">
        <v>343</v>
      </c>
      <c r="B87" s="157" t="s">
        <v>344</v>
      </c>
      <c r="C87" s="157" t="s">
        <v>107</v>
      </c>
      <c r="D87" s="157" t="s">
        <v>107</v>
      </c>
      <c r="E87" s="157" t="s">
        <v>107</v>
      </c>
    </row>
    <row r="88" spans="1:5" x14ac:dyDescent="0.35">
      <c r="A88" s="157" t="s">
        <v>361</v>
      </c>
      <c r="B88" s="157" t="s">
        <v>362</v>
      </c>
      <c r="C88" s="157" t="s">
        <v>360</v>
      </c>
      <c r="D88" s="157" t="s">
        <v>401</v>
      </c>
      <c r="E88" s="157" t="s">
        <v>110</v>
      </c>
    </row>
    <row r="89" spans="1:5" x14ac:dyDescent="0.35">
      <c r="A89" s="157" t="s">
        <v>306</v>
      </c>
      <c r="B89" s="157" t="s">
        <v>307</v>
      </c>
      <c r="C89" s="157" t="s">
        <v>305</v>
      </c>
      <c r="D89" s="157" t="s">
        <v>401</v>
      </c>
      <c r="E89" s="157" t="s">
        <v>110</v>
      </c>
    </row>
    <row r="90" spans="1:5" x14ac:dyDescent="0.35">
      <c r="A90" s="157" t="s">
        <v>310</v>
      </c>
      <c r="B90" s="157" t="s">
        <v>311</v>
      </c>
      <c r="C90" s="157" t="s">
        <v>312</v>
      </c>
      <c r="D90" s="157" t="s">
        <v>190</v>
      </c>
      <c r="E90" s="157" t="s">
        <v>190</v>
      </c>
    </row>
    <row r="91" spans="1:5" ht="24.5" x14ac:dyDescent="0.35">
      <c r="A91" s="157" t="s">
        <v>226</v>
      </c>
      <c r="B91" s="157" t="s">
        <v>227</v>
      </c>
      <c r="C91" s="157" t="s">
        <v>111</v>
      </c>
      <c r="D91" s="157" t="s">
        <v>402</v>
      </c>
      <c r="E91" s="157" t="s">
        <v>490</v>
      </c>
    </row>
    <row r="92" spans="1:5" ht="24.5" x14ac:dyDescent="0.35">
      <c r="A92" s="157" t="s">
        <v>268</v>
      </c>
      <c r="B92" s="157" t="s">
        <v>269</v>
      </c>
      <c r="C92" s="157" t="s">
        <v>112</v>
      </c>
      <c r="D92" s="157" t="s">
        <v>402</v>
      </c>
      <c r="E92" s="157" t="s">
        <v>490</v>
      </c>
    </row>
    <row r="93" spans="1:5" x14ac:dyDescent="0.35">
      <c r="A93" s="157" t="s">
        <v>288</v>
      </c>
      <c r="B93" s="157" t="s">
        <v>289</v>
      </c>
      <c r="C93" s="157" t="s">
        <v>277</v>
      </c>
      <c r="D93" s="157" t="s">
        <v>278</v>
      </c>
      <c r="E93" s="157" t="s">
        <v>278</v>
      </c>
    </row>
    <row r="94" spans="1:5" x14ac:dyDescent="0.35">
      <c r="A94" s="157" t="s">
        <v>283</v>
      </c>
      <c r="B94" s="157" t="s">
        <v>284</v>
      </c>
      <c r="C94" s="157" t="s">
        <v>277</v>
      </c>
      <c r="D94" s="157" t="s">
        <v>278</v>
      </c>
      <c r="E94" s="157" t="s">
        <v>278</v>
      </c>
    </row>
    <row r="95" spans="1:5" x14ac:dyDescent="0.35">
      <c r="A95" s="157" t="s">
        <v>281</v>
      </c>
      <c r="B95" s="157" t="s">
        <v>282</v>
      </c>
      <c r="C95" s="157" t="s">
        <v>277</v>
      </c>
      <c r="D95" s="157" t="s">
        <v>278</v>
      </c>
      <c r="E95" s="157" t="s">
        <v>278</v>
      </c>
    </row>
    <row r="96" spans="1:5" x14ac:dyDescent="0.35">
      <c r="A96" s="157" t="s">
        <v>275</v>
      </c>
      <c r="B96" s="157" t="s">
        <v>276</v>
      </c>
      <c r="C96" s="157" t="s">
        <v>277</v>
      </c>
      <c r="D96" s="157" t="s">
        <v>278</v>
      </c>
      <c r="E96" s="157" t="s">
        <v>278</v>
      </c>
    </row>
    <row r="97" spans="1:5" x14ac:dyDescent="0.35">
      <c r="A97" s="157" t="s">
        <v>279</v>
      </c>
      <c r="B97" s="157" t="s">
        <v>280</v>
      </c>
      <c r="C97" s="157" t="s">
        <v>277</v>
      </c>
      <c r="D97" s="157" t="s">
        <v>278</v>
      </c>
      <c r="E97" s="157" t="s">
        <v>278</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FE245-D75C-43B3-8CB1-E6730C885C92}">
  <dimension ref="B2:E17"/>
  <sheetViews>
    <sheetView topLeftCell="B1" workbookViewId="0">
      <selection activeCell="B39" sqref="B39"/>
    </sheetView>
  </sheetViews>
  <sheetFormatPr baseColWidth="10" defaultRowHeight="14.5" x14ac:dyDescent="0.35"/>
  <cols>
    <col min="1" max="1" width="6.54296875" customWidth="1"/>
    <col min="2" max="2" width="16.54296875" customWidth="1"/>
    <col min="3" max="3" width="5.1796875" customWidth="1"/>
  </cols>
  <sheetData>
    <row r="2" spans="2:5" ht="23.5" x14ac:dyDescent="0.55000000000000004">
      <c r="B2" s="522" t="s">
        <v>597</v>
      </c>
      <c r="C2" s="514"/>
      <c r="D2" s="514"/>
    </row>
    <row r="3" spans="2:5" x14ac:dyDescent="0.35">
      <c r="B3" s="514"/>
      <c r="C3" s="514"/>
      <c r="D3" s="514"/>
    </row>
    <row r="4" spans="2:5" x14ac:dyDescent="0.35">
      <c r="B4" s="521" t="s">
        <v>598</v>
      </c>
      <c r="C4" s="514"/>
      <c r="D4" s="514"/>
    </row>
    <row r="5" spans="2:5" x14ac:dyDescent="0.35">
      <c r="B5" s="520" t="s">
        <v>643</v>
      </c>
      <c r="C5" s="516" t="b">
        <v>0</v>
      </c>
      <c r="D5" s="515" t="s">
        <v>646</v>
      </c>
    </row>
    <row r="6" spans="2:5" x14ac:dyDescent="0.35">
      <c r="B6" s="519" t="s">
        <v>595</v>
      </c>
      <c r="C6" s="516" t="b">
        <v>0</v>
      </c>
      <c r="D6" s="515" t="s">
        <v>647</v>
      </c>
    </row>
    <row r="7" spans="2:5" x14ac:dyDescent="0.35">
      <c r="B7" s="560" t="s">
        <v>596</v>
      </c>
      <c r="C7" s="563"/>
      <c r="D7" s="561" t="s">
        <v>648</v>
      </c>
      <c r="E7" s="562"/>
    </row>
    <row r="8" spans="2:5" x14ac:dyDescent="0.35">
      <c r="B8" s="520" t="s">
        <v>644</v>
      </c>
      <c r="C8" s="516" t="b">
        <v>0</v>
      </c>
      <c r="D8" s="515" t="s">
        <v>652</v>
      </c>
    </row>
    <row r="9" spans="2:5" x14ac:dyDescent="0.35">
      <c r="B9" s="520" t="s">
        <v>643</v>
      </c>
      <c r="C9" s="516" t="b">
        <v>0</v>
      </c>
      <c r="D9" s="515" t="s">
        <v>649</v>
      </c>
    </row>
    <row r="10" spans="2:5" x14ac:dyDescent="0.35">
      <c r="B10" s="518"/>
    </row>
    <row r="11" spans="2:5" x14ac:dyDescent="0.35">
      <c r="C11" s="517" t="s">
        <v>160</v>
      </c>
    </row>
    <row r="12" spans="2:5" x14ac:dyDescent="0.35">
      <c r="B12" s="520" t="s">
        <v>644</v>
      </c>
      <c r="C12" s="516" t="b">
        <v>0</v>
      </c>
      <c r="D12" s="515" t="s">
        <v>650</v>
      </c>
    </row>
    <row r="13" spans="2:5" x14ac:dyDescent="0.35">
      <c r="B13" s="520" t="s">
        <v>644</v>
      </c>
      <c r="C13" s="516"/>
      <c r="D13" s="515" t="s">
        <v>651</v>
      </c>
    </row>
    <row r="14" spans="2:5" x14ac:dyDescent="0.35">
      <c r="B14" s="520" t="s">
        <v>644</v>
      </c>
      <c r="C14" s="516" t="b">
        <v>0</v>
      </c>
      <c r="D14" s="515" t="s">
        <v>653</v>
      </c>
    </row>
    <row r="15" spans="2:5" x14ac:dyDescent="0.35">
      <c r="B15" s="91"/>
      <c r="C15" s="516"/>
      <c r="D15" s="515"/>
    </row>
    <row r="16" spans="2:5" x14ac:dyDescent="0.35">
      <c r="B16" s="91"/>
      <c r="C16" s="516"/>
      <c r="D16" s="515"/>
    </row>
    <row r="17" spans="2:4" x14ac:dyDescent="0.35">
      <c r="B17" s="518"/>
      <c r="C17" s="516" t="b">
        <v>0</v>
      </c>
      <c r="D17" s="515"/>
    </row>
  </sheetData>
  <conditionalFormatting sqref="D12">
    <cfRule type="expression" dxfId="19" priority="1">
      <formula>AND(Salaire1&gt;0)</formula>
    </cfRule>
  </conditionalFormatting>
  <conditionalFormatting sqref="D14">
    <cfRule type="expression" dxfId="18" priority="3">
      <formula>AND(inter="OUI")</formula>
    </cfRule>
  </conditionalFormatting>
  <conditionalFormatting sqref="D17">
    <cfRule type="expression" dxfId="17" priority="4">
      <formula>AND(aide&gt;23000)</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2289" r:id="rId3" name="Check Box 1">
              <controlPr defaultSize="0" autoFill="0" autoLine="0" autoPict="0">
                <anchor moveWithCells="1">
                  <from>
                    <xdr:col>2</xdr:col>
                    <xdr:colOff>38100</xdr:colOff>
                    <xdr:row>4</xdr:row>
                    <xdr:rowOff>0</xdr:rowOff>
                  </from>
                  <to>
                    <xdr:col>2</xdr:col>
                    <xdr:colOff>279400</xdr:colOff>
                    <xdr:row>5</xdr:row>
                    <xdr:rowOff>0</xdr:rowOff>
                  </to>
                </anchor>
              </controlPr>
            </control>
          </mc:Choice>
        </mc:AlternateContent>
        <mc:AlternateContent xmlns:mc="http://schemas.openxmlformats.org/markup-compatibility/2006">
          <mc:Choice Requires="x14">
            <control shapeId="12290" r:id="rId4" name="Check Box 2">
              <controlPr defaultSize="0" autoFill="0" autoLine="0" autoPict="0">
                <anchor moveWithCells="1">
                  <from>
                    <xdr:col>2</xdr:col>
                    <xdr:colOff>38100</xdr:colOff>
                    <xdr:row>5</xdr:row>
                    <xdr:rowOff>12700</xdr:rowOff>
                  </from>
                  <to>
                    <xdr:col>2</xdr:col>
                    <xdr:colOff>279400</xdr:colOff>
                    <xdr:row>6</xdr:row>
                    <xdr:rowOff>12700</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2</xdr:col>
                    <xdr:colOff>38100</xdr:colOff>
                    <xdr:row>6</xdr:row>
                    <xdr:rowOff>12700</xdr:rowOff>
                  </from>
                  <to>
                    <xdr:col>2</xdr:col>
                    <xdr:colOff>279400</xdr:colOff>
                    <xdr:row>7</xdr:row>
                    <xdr:rowOff>12700</xdr:rowOff>
                  </to>
                </anchor>
              </controlPr>
            </control>
          </mc:Choice>
        </mc:AlternateContent>
        <mc:AlternateContent xmlns:mc="http://schemas.openxmlformats.org/markup-compatibility/2006">
          <mc:Choice Requires="x14">
            <control shapeId="12292" r:id="rId6" name="Check Box 4">
              <controlPr defaultSize="0" autoFill="0" autoLine="0" autoPict="0">
                <anchor moveWithCells="1">
                  <from>
                    <xdr:col>2</xdr:col>
                    <xdr:colOff>38100</xdr:colOff>
                    <xdr:row>7</xdr:row>
                    <xdr:rowOff>31750</xdr:rowOff>
                  </from>
                  <to>
                    <xdr:col>2</xdr:col>
                    <xdr:colOff>279400</xdr:colOff>
                    <xdr:row>8</xdr:row>
                    <xdr:rowOff>12700</xdr:rowOff>
                  </to>
                </anchor>
              </controlPr>
            </control>
          </mc:Choice>
        </mc:AlternateContent>
        <mc:AlternateContent xmlns:mc="http://schemas.openxmlformats.org/markup-compatibility/2006">
          <mc:Choice Requires="x14">
            <control shapeId="12296" r:id="rId7" name="Check Box 8">
              <controlPr defaultSize="0" autoFill="0" autoLine="0" autoPict="0">
                <anchor moveWithCells="1">
                  <from>
                    <xdr:col>2</xdr:col>
                    <xdr:colOff>38100</xdr:colOff>
                    <xdr:row>11</xdr:row>
                    <xdr:rowOff>31750</xdr:rowOff>
                  </from>
                  <to>
                    <xdr:col>2</xdr:col>
                    <xdr:colOff>279400</xdr:colOff>
                    <xdr:row>11</xdr:row>
                    <xdr:rowOff>203200</xdr:rowOff>
                  </to>
                </anchor>
              </controlPr>
            </control>
          </mc:Choice>
        </mc:AlternateContent>
        <mc:AlternateContent xmlns:mc="http://schemas.openxmlformats.org/markup-compatibility/2006">
          <mc:Choice Requires="x14">
            <control shapeId="12297" r:id="rId8" name="Check Box 9">
              <controlPr defaultSize="0" autoFill="0" autoLine="0" autoPict="0">
                <anchor moveWithCells="1">
                  <from>
                    <xdr:col>2</xdr:col>
                    <xdr:colOff>38100</xdr:colOff>
                    <xdr:row>12</xdr:row>
                    <xdr:rowOff>12700</xdr:rowOff>
                  </from>
                  <to>
                    <xdr:col>2</xdr:col>
                    <xdr:colOff>279400</xdr:colOff>
                    <xdr:row>13</xdr:row>
                    <xdr:rowOff>12700</xdr:rowOff>
                  </to>
                </anchor>
              </controlPr>
            </control>
          </mc:Choice>
        </mc:AlternateContent>
        <mc:AlternateContent xmlns:mc="http://schemas.openxmlformats.org/markup-compatibility/2006">
          <mc:Choice Requires="x14">
            <control shapeId="12298" r:id="rId9" name="Check Box 10">
              <controlPr defaultSize="0" autoFill="0" autoLine="0" autoPict="0">
                <anchor moveWithCells="1">
                  <from>
                    <xdr:col>2</xdr:col>
                    <xdr:colOff>38100</xdr:colOff>
                    <xdr:row>13</xdr:row>
                    <xdr:rowOff>0</xdr:rowOff>
                  </from>
                  <to>
                    <xdr:col>2</xdr:col>
                    <xdr:colOff>279400</xdr:colOff>
                    <xdr:row>14</xdr:row>
                    <xdr:rowOff>0</xdr:rowOff>
                  </to>
                </anchor>
              </controlPr>
            </control>
          </mc:Choice>
        </mc:AlternateContent>
        <mc:AlternateContent xmlns:mc="http://schemas.openxmlformats.org/markup-compatibility/2006">
          <mc:Choice Requires="x14">
            <control shapeId="12301" r:id="rId10" name="Check Box 13">
              <controlPr defaultSize="0" autoFill="0" autoLine="0" autoPict="0">
                <anchor moveWithCells="1">
                  <from>
                    <xdr:col>2</xdr:col>
                    <xdr:colOff>38100</xdr:colOff>
                    <xdr:row>4</xdr:row>
                    <xdr:rowOff>0</xdr:rowOff>
                  </from>
                  <to>
                    <xdr:col>2</xdr:col>
                    <xdr:colOff>279400</xdr:colOff>
                    <xdr:row>5</xdr:row>
                    <xdr:rowOff>0</xdr:rowOff>
                  </to>
                </anchor>
              </controlPr>
            </control>
          </mc:Choice>
        </mc:AlternateContent>
        <mc:AlternateContent xmlns:mc="http://schemas.openxmlformats.org/markup-compatibility/2006">
          <mc:Choice Requires="x14">
            <control shapeId="12303" r:id="rId11" name="Check Box 15">
              <controlPr defaultSize="0" autoFill="0" autoLine="0" autoPict="0">
                <anchor moveWithCells="1">
                  <from>
                    <xdr:col>2</xdr:col>
                    <xdr:colOff>38100</xdr:colOff>
                    <xdr:row>8</xdr:row>
                    <xdr:rowOff>0</xdr:rowOff>
                  </from>
                  <to>
                    <xdr:col>2</xdr:col>
                    <xdr:colOff>279400</xdr:colOff>
                    <xdr:row>9</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rgb="FFFFFF99"/>
    <pageSetUpPr fitToPage="1"/>
  </sheetPr>
  <dimension ref="A1:BC301"/>
  <sheetViews>
    <sheetView showZeros="0" tabSelected="1" topLeftCell="B90" zoomScale="80" zoomScaleNormal="80" zoomScaleSheetLayoutView="80" workbookViewId="0">
      <selection activeCell="K57" sqref="K57"/>
    </sheetView>
  </sheetViews>
  <sheetFormatPr baseColWidth="10" defaultColWidth="11" defaultRowHeight="18.5" x14ac:dyDescent="0.45"/>
  <cols>
    <col min="1" max="2" width="3.54296875" style="339" customWidth="1"/>
    <col min="3" max="3" width="3.54296875" style="418" customWidth="1"/>
    <col min="4" max="4" width="3.54296875" style="422" customWidth="1"/>
    <col min="5" max="5" width="30.1796875" style="418" customWidth="1"/>
    <col min="6" max="6" width="24.81640625" style="411" customWidth="1"/>
    <col min="7" max="7" width="30.453125" style="411" customWidth="1"/>
    <col min="8" max="8" width="20.81640625" style="411" customWidth="1"/>
    <col min="9" max="9" width="19" style="464" customWidth="1"/>
    <col min="10" max="10" width="15" style="465" customWidth="1"/>
    <col min="11" max="11" width="47.453125" style="465" customWidth="1"/>
    <col min="12" max="12" width="6.54296875" style="413" customWidth="1"/>
    <col min="13" max="13" width="18.54296875" style="466" customWidth="1"/>
    <col min="14" max="14" width="15.54296875" style="418" customWidth="1"/>
    <col min="15" max="17" width="15.54296875" style="279" customWidth="1"/>
    <col min="18" max="19" width="15.54296875" style="415" customWidth="1"/>
    <col min="20" max="47" width="11" style="415"/>
    <col min="48" max="16384" width="11" style="339"/>
  </cols>
  <sheetData>
    <row r="1" spans="1:51" s="312" customFormat="1" ht="27" customHeight="1" x14ac:dyDescent="0.5">
      <c r="A1" s="347"/>
      <c r="B1" s="468"/>
      <c r="C1" s="469"/>
      <c r="D1" s="469"/>
      <c r="E1" s="469" t="s">
        <v>408</v>
      </c>
      <c r="F1" s="470">
        <f>date</f>
        <v>0</v>
      </c>
      <c r="G1" s="469"/>
      <c r="H1" s="469"/>
      <c r="I1" s="749" t="s">
        <v>640</v>
      </c>
      <c r="J1" s="750"/>
      <c r="K1" s="649" t="s">
        <v>442</v>
      </c>
      <c r="L1" s="645"/>
      <c r="M1" s="578" t="s">
        <v>441</v>
      </c>
      <c r="N1" s="579"/>
      <c r="O1" s="579"/>
      <c r="P1" s="579"/>
      <c r="Q1" s="579"/>
      <c r="R1" s="579"/>
      <c r="S1" s="579"/>
      <c r="T1" s="579"/>
      <c r="U1" s="471"/>
      <c r="V1" s="471"/>
      <c r="W1" s="471"/>
      <c r="X1" s="471"/>
      <c r="Y1" s="471"/>
      <c r="Z1" s="471"/>
      <c r="AA1" s="471"/>
      <c r="AB1" s="471"/>
      <c r="AC1" s="471"/>
      <c r="AD1" s="471"/>
      <c r="AE1" s="471"/>
      <c r="AF1" s="471"/>
      <c r="AG1" s="471"/>
      <c r="AH1" s="471"/>
      <c r="AI1" s="471"/>
      <c r="AJ1" s="471"/>
      <c r="AK1" s="471"/>
      <c r="AL1" s="471"/>
      <c r="AM1" s="471"/>
      <c r="AN1" s="471"/>
      <c r="AO1" s="471"/>
      <c r="AP1" s="471"/>
      <c r="AQ1" s="471"/>
      <c r="AR1" s="471"/>
      <c r="AS1" s="471"/>
      <c r="AT1" s="471"/>
      <c r="AU1" s="471"/>
      <c r="AV1" s="347"/>
      <c r="AW1" s="347"/>
      <c r="AX1" s="347"/>
      <c r="AY1" s="347"/>
    </row>
    <row r="2" spans="1:51" ht="15" customHeight="1" x14ac:dyDescent="0.45">
      <c r="B2" s="408"/>
      <c r="C2" s="409"/>
      <c r="D2" s="410"/>
      <c r="E2" s="409"/>
      <c r="G2" s="412"/>
      <c r="H2" s="412"/>
      <c r="I2" s="647"/>
      <c r="J2" s="648"/>
      <c r="K2" s="646"/>
      <c r="L2" s="580"/>
      <c r="M2" s="581"/>
      <c r="N2" s="582"/>
      <c r="O2" s="583"/>
      <c r="P2" s="583"/>
      <c r="Q2" s="583"/>
      <c r="R2" s="584"/>
      <c r="S2" s="584"/>
      <c r="T2" s="584"/>
    </row>
    <row r="3" spans="1:51" ht="15" customHeight="1" x14ac:dyDescent="0.45">
      <c r="B3" s="416"/>
      <c r="C3" t="s">
        <v>592</v>
      </c>
      <c r="D3"/>
      <c r="E3" s="417"/>
      <c r="F3" s="753" t="str">
        <f>porteur</f>
        <v/>
      </c>
      <c r="G3" s="754"/>
      <c r="H3" s="755"/>
      <c r="I3" s="322" t="str">
        <f>Famille</f>
        <v>Dérouler le menu</v>
      </c>
      <c r="J3" s="548"/>
      <c r="K3" s="547"/>
      <c r="L3" s="585"/>
      <c r="M3" s="586"/>
      <c r="N3" s="583"/>
      <c r="O3" s="583"/>
      <c r="P3" s="583"/>
      <c r="Q3" s="583"/>
      <c r="R3" s="584"/>
      <c r="S3" s="584"/>
      <c r="T3" s="584"/>
    </row>
    <row r="4" spans="1:51" ht="15" customHeight="1" x14ac:dyDescent="0.45">
      <c r="B4" s="416"/>
      <c r="C4" t="s">
        <v>11</v>
      </c>
      <c r="D4"/>
      <c r="E4" s="417"/>
      <c r="F4" s="756"/>
      <c r="G4" s="757"/>
      <c r="H4" s="758"/>
      <c r="I4" s="321"/>
      <c r="J4" s="548"/>
      <c r="K4" s="547"/>
      <c r="L4" s="585"/>
      <c r="M4" s="586"/>
      <c r="N4" s="582"/>
      <c r="O4" s="583"/>
      <c r="P4" s="583"/>
      <c r="Q4" s="583"/>
      <c r="R4" s="584"/>
      <c r="S4" s="584"/>
      <c r="T4" s="584"/>
    </row>
    <row r="5" spans="1:51" ht="36" customHeight="1" x14ac:dyDescent="0.45">
      <c r="B5" s="416"/>
      <c r="C5" t="s">
        <v>16</v>
      </c>
      <c r="D5"/>
      <c r="E5" s="417"/>
      <c r="F5" s="751">
        <f>thème</f>
        <v>0</v>
      </c>
      <c r="G5" s="752"/>
      <c r="H5" s="752"/>
      <c r="I5" s="545"/>
      <c r="J5" s="762"/>
      <c r="K5" s="762"/>
      <c r="L5" s="587"/>
      <c r="M5" s="586"/>
      <c r="N5" s="588"/>
      <c r="O5" s="583"/>
      <c r="P5" s="583"/>
      <c r="Q5" s="583"/>
      <c r="R5" s="584"/>
      <c r="S5" s="584"/>
      <c r="T5" s="584"/>
    </row>
    <row r="6" spans="1:51" ht="15" customHeight="1" x14ac:dyDescent="0.45">
      <c r="B6" s="416"/>
      <c r="C6" t="s">
        <v>20</v>
      </c>
      <c r="D6"/>
      <c r="E6" s="417"/>
      <c r="F6" s="650" t="s">
        <v>645</v>
      </c>
      <c r="G6" s="649" t="s">
        <v>442</v>
      </c>
      <c r="H6" s="474"/>
      <c r="I6" s="321"/>
      <c r="J6" s="761"/>
      <c r="K6" s="761"/>
      <c r="L6" s="587"/>
      <c r="M6" s="586"/>
      <c r="N6" s="589"/>
      <c r="O6" s="590"/>
      <c r="P6" s="583"/>
      <c r="Q6" s="583"/>
      <c r="R6" s="584"/>
      <c r="S6" s="584"/>
      <c r="T6" s="584"/>
    </row>
    <row r="7" spans="1:51" ht="15" customHeight="1" x14ac:dyDescent="0.45">
      <c r="B7" s="416"/>
      <c r="C7" t="s">
        <v>33</v>
      </c>
      <c r="D7"/>
      <c r="E7" s="417"/>
      <c r="F7" s="475">
        <f>IF(AND(Type="Innovation",inter="OUI"),250000,IF(Type="Innovation",200000,IF(inter="non",100000,150000)))</f>
        <v>250000</v>
      </c>
      <c r="G7" s="651" t="s">
        <v>685</v>
      </c>
      <c r="H7" s="474"/>
      <c r="I7" s="546"/>
      <c r="J7" s="761"/>
      <c r="K7" s="761"/>
      <c r="L7" s="587"/>
      <c r="M7" s="586"/>
      <c r="N7" s="591"/>
      <c r="O7" s="591"/>
      <c r="P7" s="591"/>
      <c r="Q7" s="583"/>
      <c r="R7" s="584"/>
      <c r="S7" s="584"/>
      <c r="T7" s="584"/>
    </row>
    <row r="8" spans="1:51" ht="15" customHeight="1" x14ac:dyDescent="0.45">
      <c r="B8" s="416"/>
      <c r="C8"/>
      <c r="D8"/>
      <c r="E8" s="417"/>
      <c r="F8" s="473"/>
      <c r="G8" s="473"/>
      <c r="H8" s="474"/>
      <c r="I8" s="476"/>
      <c r="J8" s="761"/>
      <c r="K8" s="761"/>
      <c r="L8" s="587"/>
      <c r="M8" s="142" t="s">
        <v>398</v>
      </c>
      <c r="N8" s="644" t="s">
        <v>448</v>
      </c>
      <c r="O8" s="592"/>
      <c r="P8" s="592"/>
      <c r="Q8" s="593"/>
      <c r="R8" s="584"/>
      <c r="S8" s="584"/>
      <c r="T8" s="584"/>
    </row>
    <row r="9" spans="1:51" ht="15" customHeight="1" x14ac:dyDescent="0.45">
      <c r="B9" s="416"/>
      <c r="C9" t="s">
        <v>482</v>
      </c>
      <c r="D9"/>
      <c r="E9" s="417"/>
      <c r="F9" s="473"/>
      <c r="G9" s="473"/>
      <c r="H9" s="474"/>
      <c r="I9" s="476"/>
      <c r="J9" s="761"/>
      <c r="K9" s="761"/>
      <c r="L9" s="587"/>
      <c r="M9" s="143" t="s">
        <v>399</v>
      </c>
      <c r="N9" s="644" t="s">
        <v>431</v>
      </c>
      <c r="O9" s="591"/>
      <c r="P9" s="591"/>
      <c r="Q9" s="583"/>
      <c r="R9" s="584"/>
      <c r="S9" s="584"/>
      <c r="T9" s="584"/>
    </row>
    <row r="10" spans="1:51" ht="15" customHeight="1" x14ac:dyDescent="0.45">
      <c r="B10" s="416"/>
      <c r="C10" t="s">
        <v>22</v>
      </c>
      <c r="D10"/>
      <c r="F10" s="477"/>
      <c r="G10" s="472" t="s">
        <v>434</v>
      </c>
      <c r="H10" s="474"/>
      <c r="I10" s="478"/>
      <c r="J10" s="761"/>
      <c r="K10" s="761"/>
      <c r="L10" s="587"/>
      <c r="M10" s="594"/>
      <c r="N10" s="591"/>
      <c r="O10" s="591"/>
      <c r="P10" s="591"/>
      <c r="Q10" s="583"/>
      <c r="R10" s="584"/>
      <c r="S10" s="584"/>
      <c r="T10" s="584"/>
    </row>
    <row r="11" spans="1:51" ht="15" customHeight="1" x14ac:dyDescent="0.45">
      <c r="B11" s="416"/>
      <c r="C11" t="s">
        <v>23</v>
      </c>
      <c r="D11"/>
      <c r="F11" s="477"/>
      <c r="G11" s="472" t="s">
        <v>434</v>
      </c>
      <c r="H11" s="474"/>
      <c r="I11" s="478"/>
      <c r="J11" s="549"/>
      <c r="K11" s="419"/>
      <c r="L11" s="585"/>
      <c r="M11" s="594"/>
      <c r="N11" s="591"/>
      <c r="O11" s="591"/>
      <c r="P11" s="591"/>
      <c r="Q11" s="583"/>
      <c r="R11" s="584"/>
      <c r="S11" s="584"/>
      <c r="T11" s="584"/>
    </row>
    <row r="12" spans="1:51" ht="15" customHeight="1" x14ac:dyDescent="0.45">
      <c r="B12" s="416"/>
      <c r="C12" t="s">
        <v>24</v>
      </c>
      <c r="D12"/>
      <c r="F12" s="678">
        <f>IF(ISERROR(DATEDIF(F10,F11,"m"))," ",(DATEDIF(F10,F11,"m")))</f>
        <v>0</v>
      </c>
      <c r="G12" s="479" t="str">
        <f>IF(durée&gt;36,"la durée de votre projet excède 3 années ; le ramener à 36 mois"," ")</f>
        <v xml:space="preserve"> </v>
      </c>
      <c r="H12" s="474"/>
      <c r="I12" s="478"/>
      <c r="J12" s="549"/>
      <c r="K12" s="419"/>
      <c r="L12" s="585"/>
      <c r="M12" s="595" t="s">
        <v>449</v>
      </c>
      <c r="N12" s="591"/>
      <c r="O12" s="591"/>
      <c r="P12" s="591"/>
      <c r="Q12" s="583"/>
      <c r="R12" s="584"/>
      <c r="S12" s="584"/>
      <c r="T12" s="584"/>
    </row>
    <row r="13" spans="1:51" ht="15" customHeight="1" x14ac:dyDescent="0.45">
      <c r="B13" s="416"/>
      <c r="C13"/>
      <c r="D13"/>
      <c r="F13" s="480"/>
      <c r="G13" s="479"/>
      <c r="H13" s="474"/>
      <c r="I13" s="478"/>
      <c r="J13" s="549"/>
      <c r="K13" s="419"/>
      <c r="L13" s="585"/>
      <c r="M13" s="591"/>
      <c r="N13" s="591"/>
      <c r="O13" s="591"/>
      <c r="P13" s="591"/>
      <c r="Q13" s="583"/>
      <c r="R13" s="584"/>
      <c r="S13" s="584"/>
      <c r="T13" s="584"/>
    </row>
    <row r="14" spans="1:51" ht="15" customHeight="1" x14ac:dyDescent="0.45">
      <c r="B14" s="416"/>
      <c r="C14" t="s">
        <v>406</v>
      </c>
      <c r="D14"/>
      <c r="F14" s="470">
        <f>INDEX(Calendrier,MATCH((date+60),Calendrier,-1),1)</f>
        <v>45887</v>
      </c>
      <c r="G14" s="481"/>
      <c r="H14" s="474"/>
      <c r="I14" s="478"/>
      <c r="J14" s="549"/>
      <c r="K14" s="419"/>
      <c r="L14" s="585"/>
      <c r="M14" s="591" t="s">
        <v>529</v>
      </c>
      <c r="N14" s="591"/>
      <c r="O14" s="591"/>
      <c r="P14" s="591"/>
      <c r="Q14" s="583"/>
      <c r="R14" s="584"/>
      <c r="S14" s="584"/>
      <c r="T14" s="584"/>
    </row>
    <row r="15" spans="1:51" ht="15" customHeight="1" x14ac:dyDescent="0.45">
      <c r="B15" s="416"/>
      <c r="C15" s="421"/>
      <c r="F15" s="480"/>
      <c r="G15" s="479"/>
      <c r="H15" s="474"/>
      <c r="I15" s="482"/>
      <c r="J15" s="549"/>
      <c r="K15" s="419"/>
      <c r="L15" s="585"/>
      <c r="M15" s="586"/>
      <c r="N15" s="583"/>
      <c r="O15" s="583"/>
      <c r="P15" s="583"/>
      <c r="Q15" s="583"/>
      <c r="R15" s="584"/>
      <c r="S15" s="584"/>
      <c r="T15" s="584"/>
    </row>
    <row r="16" spans="1:51" s="426" customFormat="1" ht="15" customHeight="1" x14ac:dyDescent="0.45">
      <c r="B16" s="427"/>
      <c r="C16" s="428" t="str">
        <f>IF(Type="innovation","Un projet d'innovation présente un caractère novateur pour le secteur, est évaluable et reproductible","Un projet de modernisation vise à faire évoluer l'organisme vers une organisation conforme aux besoins d'aujourd'hui ")</f>
        <v>Un projet d'innovation présente un caractère novateur pour le secteur, est évaluable et reproductible</v>
      </c>
      <c r="D16" s="429"/>
      <c r="E16" s="430"/>
      <c r="F16" s="480"/>
      <c r="G16" s="479"/>
      <c r="H16" s="474"/>
      <c r="I16" s="482"/>
      <c r="J16" s="550"/>
      <c r="K16" s="431"/>
      <c r="L16" s="580" t="s">
        <v>685</v>
      </c>
      <c r="M16" s="581" t="s">
        <v>686</v>
      </c>
      <c r="N16" s="543"/>
      <c r="O16" s="543"/>
      <c r="P16" s="543"/>
      <c r="Q16" s="543"/>
      <c r="R16" s="596"/>
      <c r="S16" s="596"/>
      <c r="T16" s="597"/>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row>
    <row r="17" spans="1:51" x14ac:dyDescent="0.45">
      <c r="B17" s="416"/>
      <c r="C17" s="421"/>
      <c r="F17" s="420"/>
      <c r="G17" s="423"/>
      <c r="H17" s="424"/>
      <c r="I17" s="425"/>
      <c r="J17" s="549"/>
      <c r="K17" s="419"/>
      <c r="L17" s="598"/>
      <c r="M17" s="599" t="s">
        <v>687</v>
      </c>
      <c r="N17" s="543"/>
      <c r="O17" s="543"/>
      <c r="P17" s="543"/>
      <c r="Q17" s="591"/>
      <c r="R17" s="600"/>
      <c r="S17" s="600"/>
      <c r="T17" s="584"/>
    </row>
    <row r="18" spans="1:51" ht="21" customHeight="1" x14ac:dyDescent="0.55000000000000004">
      <c r="B18" s="416"/>
      <c r="C18" s="467" t="s">
        <v>57</v>
      </c>
      <c r="F18" s="420"/>
      <c r="G18" s="423"/>
      <c r="H18" s="424"/>
      <c r="I18" s="425"/>
      <c r="J18" s="549"/>
      <c r="K18" s="419"/>
      <c r="L18" s="585"/>
      <c r="M18" s="652" t="s">
        <v>688</v>
      </c>
      <c r="N18" s="543"/>
      <c r="O18" s="543"/>
      <c r="P18" s="543"/>
      <c r="Q18" s="591"/>
      <c r="R18" s="600"/>
      <c r="S18" s="600"/>
      <c r="T18" s="584"/>
    </row>
    <row r="19" spans="1:51" ht="34.75" customHeight="1" x14ac:dyDescent="0.45">
      <c r="B19" s="416"/>
      <c r="C19" s="421"/>
      <c r="F19" s="420"/>
      <c r="G19" s="423"/>
      <c r="H19" s="424"/>
      <c r="I19" s="760"/>
      <c r="J19" s="760"/>
      <c r="K19" s="419"/>
      <c r="L19" s="585"/>
      <c r="M19" s="543"/>
      <c r="N19" s="543"/>
      <c r="O19" s="543"/>
      <c r="P19" s="543"/>
      <c r="Q19" s="591"/>
      <c r="R19" s="600"/>
      <c r="S19" s="600"/>
      <c r="T19" s="584"/>
    </row>
    <row r="20" spans="1:51" s="527" customFormat="1" ht="61.75" customHeight="1" x14ac:dyDescent="0.35">
      <c r="A20" s="525"/>
      <c r="B20" s="654"/>
      <c r="D20" s="655"/>
      <c r="E20" s="653" t="s">
        <v>12</v>
      </c>
      <c r="F20" s="656"/>
      <c r="G20" s="657" t="s">
        <v>2</v>
      </c>
      <c r="H20" s="687" t="s">
        <v>633</v>
      </c>
      <c r="I20" s="683" t="s">
        <v>689</v>
      </c>
      <c r="J20" s="747" t="s">
        <v>32</v>
      </c>
      <c r="K20" s="684" t="s">
        <v>639</v>
      </c>
      <c r="L20" s="601"/>
      <c r="M20" s="602"/>
      <c r="N20" s="602"/>
      <c r="O20" s="602"/>
      <c r="P20" s="602"/>
      <c r="Q20" s="603"/>
      <c r="R20" s="604"/>
      <c r="S20" s="604"/>
      <c r="T20" s="604"/>
      <c r="U20" s="526"/>
      <c r="V20" s="526"/>
      <c r="W20" s="526"/>
      <c r="X20" s="526"/>
      <c r="Y20" s="526"/>
      <c r="Z20" s="526"/>
      <c r="AA20" s="526"/>
      <c r="AB20" s="526"/>
      <c r="AC20" s="526"/>
      <c r="AD20" s="526"/>
      <c r="AE20" s="526"/>
      <c r="AF20" s="526"/>
      <c r="AG20" s="526"/>
      <c r="AH20" s="526"/>
      <c r="AI20" s="526"/>
      <c r="AJ20" s="526"/>
      <c r="AK20" s="526"/>
      <c r="AL20" s="526"/>
      <c r="AM20" s="526"/>
      <c r="AN20" s="526"/>
      <c r="AO20" s="526"/>
      <c r="AP20" s="526"/>
      <c r="AQ20" s="526"/>
      <c r="AR20" s="526"/>
      <c r="AS20" s="526"/>
      <c r="AT20" s="526"/>
      <c r="AU20" s="526"/>
      <c r="AV20" s="525"/>
      <c r="AW20" s="525"/>
      <c r="AX20" s="525"/>
      <c r="AY20" s="525"/>
    </row>
    <row r="21" spans="1:51" s="436" customFormat="1" ht="25.4" customHeight="1" x14ac:dyDescent="0.45">
      <c r="A21" s="434"/>
      <c r="B21" s="686"/>
      <c r="C21" s="685"/>
      <c r="D21" s="551"/>
      <c r="E21" s="551"/>
      <c r="F21" s="659"/>
      <c r="G21" s="658"/>
      <c r="H21" s="688"/>
      <c r="I21" s="732">
        <v>460</v>
      </c>
      <c r="J21" s="747"/>
      <c r="K21" s="664"/>
      <c r="L21" s="607" t="s">
        <v>694</v>
      </c>
      <c r="M21" s="596" t="s">
        <v>36</v>
      </c>
      <c r="N21" s="543"/>
      <c r="O21" s="543"/>
      <c r="P21" s="543"/>
      <c r="Q21" s="591"/>
      <c r="R21" s="606"/>
      <c r="S21" s="606"/>
      <c r="T21" s="440"/>
      <c r="U21" s="435"/>
      <c r="V21" s="435"/>
      <c r="W21" s="435"/>
      <c r="X21" s="435"/>
      <c r="Y21" s="435"/>
      <c r="Z21" s="435"/>
      <c r="AA21" s="435"/>
      <c r="AB21" s="435"/>
      <c r="AC21" s="435"/>
      <c r="AD21" s="435"/>
      <c r="AE21" s="435"/>
      <c r="AF21" s="435"/>
      <c r="AG21" s="435"/>
      <c r="AH21" s="435"/>
      <c r="AI21" s="435"/>
      <c r="AJ21" s="435"/>
      <c r="AK21" s="435"/>
      <c r="AL21" s="435"/>
      <c r="AM21" s="435"/>
      <c r="AN21" s="435"/>
      <c r="AO21" s="435"/>
      <c r="AP21" s="435"/>
      <c r="AQ21" s="435"/>
      <c r="AR21" s="435"/>
      <c r="AS21" s="435"/>
      <c r="AT21" s="435"/>
      <c r="AU21" s="435"/>
      <c r="AV21" s="434"/>
      <c r="AW21" s="434"/>
      <c r="AX21" s="434"/>
      <c r="AY21" s="434"/>
    </row>
    <row r="22" spans="1:51" s="436" customFormat="1" ht="17.5" customHeight="1" thickBot="1" x14ac:dyDescent="0.55000000000000004">
      <c r="A22" s="434"/>
      <c r="B22" s="660"/>
      <c r="C22" s="661" t="s">
        <v>162</v>
      </c>
      <c r="D22" s="662"/>
      <c r="E22" s="663"/>
      <c r="F22" s="663"/>
      <c r="G22" s="699"/>
      <c r="H22" s="559"/>
      <c r="I22" s="734"/>
      <c r="J22" s="558"/>
      <c r="K22" s="558"/>
      <c r="L22" s="607"/>
      <c r="M22" s="596"/>
      <c r="N22" s="543"/>
      <c r="O22" s="543"/>
      <c r="P22" s="543"/>
      <c r="Q22" s="591"/>
      <c r="R22" s="606"/>
      <c r="S22" s="606"/>
      <c r="T22" s="440"/>
      <c r="U22" s="435"/>
      <c r="V22" s="435"/>
      <c r="W22" s="435"/>
      <c r="X22" s="435"/>
      <c r="Y22" s="435"/>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5"/>
      <c r="AV22" s="434"/>
      <c r="AW22" s="434"/>
      <c r="AX22" s="434"/>
      <c r="AY22" s="434"/>
    </row>
    <row r="23" spans="1:51" s="438" customFormat="1" ht="3" customHeight="1" x14ac:dyDescent="0.45">
      <c r="A23" s="434"/>
      <c r="B23" s="437"/>
      <c r="C23" s="483"/>
      <c r="D23" s="484"/>
      <c r="E23" s="485"/>
      <c r="F23" s="485"/>
      <c r="G23" s="558"/>
      <c r="H23" s="692"/>
      <c r="I23" s="735"/>
      <c r="J23" s="558"/>
      <c r="K23" s="558"/>
      <c r="L23" s="585"/>
      <c r="M23" s="759"/>
      <c r="N23" s="759"/>
      <c r="O23" s="591"/>
      <c r="P23" s="591"/>
      <c r="Q23" s="591"/>
      <c r="R23" s="606"/>
      <c r="S23" s="606"/>
      <c r="T23" s="440"/>
      <c r="U23" s="435"/>
      <c r="V23" s="435"/>
      <c r="W23" s="435"/>
      <c r="X23" s="435"/>
      <c r="Y23" s="435"/>
      <c r="Z23" s="435"/>
      <c r="AA23" s="435"/>
      <c r="AB23" s="435"/>
      <c r="AC23" s="435"/>
      <c r="AD23" s="435"/>
      <c r="AE23" s="435"/>
      <c r="AF23" s="435"/>
      <c r="AG23" s="435"/>
      <c r="AH23" s="435"/>
      <c r="AI23" s="435"/>
      <c r="AJ23" s="435"/>
      <c r="AK23" s="435"/>
      <c r="AL23" s="435"/>
      <c r="AM23" s="435"/>
      <c r="AN23" s="435"/>
      <c r="AO23" s="435"/>
      <c r="AP23" s="435"/>
      <c r="AQ23" s="435"/>
      <c r="AR23" s="435"/>
      <c r="AS23" s="435"/>
      <c r="AT23" s="435"/>
      <c r="AU23" s="435"/>
      <c r="AV23" s="434"/>
      <c r="AW23" s="434"/>
      <c r="AX23" s="434"/>
      <c r="AY23" s="434"/>
    </row>
    <row r="24" spans="1:51" s="440" customFormat="1" ht="15" customHeight="1" x14ac:dyDescent="0.45">
      <c r="A24" s="434"/>
      <c r="B24" s="677">
        <v>1</v>
      </c>
      <c r="C24" s="676" t="s">
        <v>7</v>
      </c>
      <c r="D24" s="676"/>
      <c r="E24" s="676"/>
      <c r="F24" s="676"/>
      <c r="G24" s="558"/>
      <c r="H24" s="693">
        <f>SUM(I25:I30)</f>
        <v>0</v>
      </c>
      <c r="I24" s="735"/>
      <c r="J24" s="504" t="str">
        <f>IF(ISERROR(#REF!/dépense)," ",(#REF!/dépense))</f>
        <v xml:space="preserve"> </v>
      </c>
      <c r="K24" s="552"/>
      <c r="L24" s="585"/>
      <c r="M24" s="608" t="s">
        <v>495</v>
      </c>
      <c r="N24" s="591"/>
      <c r="O24" s="591"/>
      <c r="P24" s="591"/>
      <c r="Q24" s="591"/>
      <c r="R24" s="606"/>
      <c r="S24" s="606"/>
      <c r="U24" s="435"/>
      <c r="V24" s="435"/>
      <c r="W24" s="435"/>
      <c r="X24" s="435"/>
      <c r="Y24" s="435"/>
      <c r="Z24" s="435"/>
      <c r="AA24" s="435"/>
      <c r="AB24" s="435"/>
      <c r="AC24" s="435"/>
      <c r="AD24" s="435"/>
      <c r="AE24" s="435"/>
      <c r="AF24" s="435"/>
      <c r="AG24" s="435"/>
      <c r="AH24" s="435"/>
      <c r="AI24" s="435"/>
      <c r="AJ24" s="435"/>
      <c r="AK24" s="435"/>
      <c r="AL24" s="435"/>
      <c r="AM24" s="435"/>
      <c r="AN24" s="435"/>
      <c r="AO24" s="435"/>
      <c r="AP24" s="435"/>
      <c r="AQ24" s="435"/>
      <c r="AR24" s="435"/>
      <c r="AS24" s="435"/>
      <c r="AT24" s="435"/>
      <c r="AU24" s="435"/>
      <c r="AV24" s="434"/>
      <c r="AW24" s="434"/>
      <c r="AX24" s="434"/>
      <c r="AY24" s="434"/>
    </row>
    <row r="25" spans="1:51" s="434" customFormat="1" ht="15" customHeight="1" x14ac:dyDescent="0.45">
      <c r="B25" s="441"/>
      <c r="C25" s="487"/>
      <c r="D25" s="406" t="s">
        <v>9</v>
      </c>
      <c r="E25"/>
      <c r="F25"/>
      <c r="G25" s="552"/>
      <c r="H25" s="694"/>
      <c r="I25" s="736">
        <v>0</v>
      </c>
      <c r="J25" s="504" t="str">
        <f>IF(ISERROR(#REF!/dépense)," ",(#REF!/dépense))</f>
        <v xml:space="preserve"> </v>
      </c>
      <c r="K25" s="552"/>
      <c r="L25" s="585"/>
      <c r="M25" s="748" t="s">
        <v>695</v>
      </c>
      <c r="N25" s="748"/>
      <c r="O25" s="748"/>
      <c r="P25" s="748"/>
      <c r="Q25" s="748"/>
      <c r="R25" s="748"/>
      <c r="S25" s="748"/>
      <c r="T25" s="440"/>
      <c r="U25" s="435"/>
      <c r="V25" s="435"/>
      <c r="W25" s="435"/>
      <c r="X25" s="435"/>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row>
    <row r="26" spans="1:51" s="434" customFormat="1" ht="15" customHeight="1" x14ac:dyDescent="0.45">
      <c r="B26" s="441"/>
      <c r="C26" s="487"/>
      <c r="D26" s="406" t="s">
        <v>9</v>
      </c>
      <c r="E26"/>
      <c r="F26"/>
      <c r="G26" s="552"/>
      <c r="H26" s="694"/>
      <c r="I26" s="736">
        <v>0</v>
      </c>
      <c r="J26" s="504">
        <f t="shared" ref="J26:J80" si="0">IF(ISERROR(I26/dépense)," ",(I26/dépense))</f>
        <v>0</v>
      </c>
      <c r="K26" s="552"/>
      <c r="L26" s="585"/>
      <c r="M26" s="748"/>
      <c r="N26" s="748"/>
      <c r="O26" s="748"/>
      <c r="P26" s="748"/>
      <c r="Q26" s="748"/>
      <c r="R26" s="748"/>
      <c r="S26" s="748"/>
      <c r="T26" s="440"/>
      <c r="U26" s="435"/>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row>
    <row r="27" spans="1:51" s="434" customFormat="1" ht="15" customHeight="1" x14ac:dyDescent="0.45">
      <c r="B27" s="441"/>
      <c r="C27" s="487"/>
      <c r="D27" s="406" t="s">
        <v>9</v>
      </c>
      <c r="E27"/>
      <c r="F27"/>
      <c r="G27" s="552"/>
      <c r="H27" s="694"/>
      <c r="I27" s="736">
        <v>0</v>
      </c>
      <c r="J27" s="504">
        <f t="shared" si="0"/>
        <v>0</v>
      </c>
      <c r="K27" s="552"/>
      <c r="L27" s="585"/>
      <c r="M27" s="609"/>
      <c r="N27" s="609"/>
      <c r="O27" s="609"/>
      <c r="P27" s="609"/>
      <c r="Q27" s="609"/>
      <c r="R27" s="609"/>
      <c r="S27" s="609"/>
      <c r="T27" s="440"/>
      <c r="U27" s="435"/>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row>
    <row r="28" spans="1:51" s="434" customFormat="1" ht="15" customHeight="1" x14ac:dyDescent="0.45">
      <c r="B28" s="441"/>
      <c r="C28" s="487"/>
      <c r="D28" s="406" t="s">
        <v>9</v>
      </c>
      <c r="E28"/>
      <c r="F28"/>
      <c r="G28" s="552"/>
      <c r="H28" s="694"/>
      <c r="I28" s="736">
        <v>0</v>
      </c>
      <c r="J28" s="504">
        <f t="shared" si="0"/>
        <v>0</v>
      </c>
      <c r="K28" s="552"/>
      <c r="L28" s="585"/>
      <c r="M28" s="543"/>
      <c r="N28" s="543"/>
      <c r="O28" s="591"/>
      <c r="P28" s="591"/>
      <c r="Q28" s="591"/>
      <c r="R28" s="606"/>
      <c r="S28" s="606"/>
      <c r="T28" s="440"/>
      <c r="U28" s="435"/>
      <c r="V28" s="435"/>
      <c r="W28" s="435"/>
      <c r="X28" s="435"/>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row>
    <row r="29" spans="1:51" s="434" customFormat="1" ht="15" customHeight="1" x14ac:dyDescent="0.45">
      <c r="B29" s="441"/>
      <c r="C29" s="487"/>
      <c r="D29" s="406" t="s">
        <v>9</v>
      </c>
      <c r="E29"/>
      <c r="F29"/>
      <c r="G29" s="552"/>
      <c r="H29" s="694"/>
      <c r="I29" s="736">
        <v>0</v>
      </c>
      <c r="J29" s="504">
        <f t="shared" si="0"/>
        <v>0</v>
      </c>
      <c r="K29" s="552"/>
      <c r="L29" s="585"/>
      <c r="M29" s="543"/>
      <c r="N29" s="543"/>
      <c r="O29" s="591"/>
      <c r="P29" s="591"/>
      <c r="Q29" s="591"/>
      <c r="R29" s="606"/>
      <c r="S29" s="606"/>
      <c r="T29" s="440"/>
      <c r="U29" s="435"/>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435"/>
      <c r="AU29" s="435"/>
    </row>
    <row r="30" spans="1:51" s="434" customFormat="1" ht="15" customHeight="1" x14ac:dyDescent="0.45">
      <c r="B30" s="441"/>
      <c r="C30" s="487"/>
      <c r="D30" s="406" t="s">
        <v>9</v>
      </c>
      <c r="E30"/>
      <c r="F30"/>
      <c r="G30" s="552"/>
      <c r="H30" s="694"/>
      <c r="I30" s="736">
        <v>0</v>
      </c>
      <c r="J30" s="504">
        <f t="shared" si="0"/>
        <v>0</v>
      </c>
      <c r="K30" s="552"/>
      <c r="L30" s="585"/>
      <c r="M30" s="543"/>
      <c r="N30" s="543"/>
      <c r="O30" s="591"/>
      <c r="P30" s="591"/>
      <c r="Q30" s="591"/>
      <c r="R30" s="606"/>
      <c r="S30" s="606"/>
      <c r="T30" s="440"/>
      <c r="U30" s="435"/>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row>
    <row r="31" spans="1:51" s="434" customFormat="1" ht="15" customHeight="1" x14ac:dyDescent="0.45">
      <c r="B31" s="672">
        <v>2</v>
      </c>
      <c r="C31" s="673" t="s">
        <v>8</v>
      </c>
      <c r="D31" s="673"/>
      <c r="E31" s="673"/>
      <c r="F31" s="673"/>
      <c r="G31" s="558"/>
      <c r="H31" s="695">
        <f>SUM(I32:I34)</f>
        <v>0</v>
      </c>
      <c r="I31" s="735"/>
      <c r="J31" s="504">
        <f t="shared" si="0"/>
        <v>0</v>
      </c>
      <c r="K31" s="552"/>
      <c r="L31" s="585"/>
      <c r="M31" s="608" t="s">
        <v>496</v>
      </c>
      <c r="N31" s="543"/>
      <c r="O31" s="591"/>
      <c r="P31" s="591"/>
      <c r="Q31" s="591"/>
      <c r="R31" s="606"/>
      <c r="S31" s="606"/>
      <c r="T31" s="440"/>
      <c r="U31" s="435"/>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435"/>
      <c r="AS31" s="435"/>
      <c r="AT31" s="435"/>
      <c r="AU31" s="435"/>
    </row>
    <row r="32" spans="1:51" s="434" customFormat="1" ht="15" customHeight="1" x14ac:dyDescent="0.45">
      <c r="B32" s="442"/>
      <c r="C32" s="490"/>
      <c r="D32" s="406"/>
      <c r="E32"/>
      <c r="F32" s="489"/>
      <c r="G32" s="552"/>
      <c r="H32" s="694"/>
      <c r="I32" s="736">
        <v>0</v>
      </c>
      <c r="J32" s="504">
        <f t="shared" si="0"/>
        <v>0</v>
      </c>
      <c r="K32" s="552"/>
      <c r="L32" s="585"/>
      <c r="M32" s="610" t="s">
        <v>696</v>
      </c>
      <c r="N32" s="610"/>
      <c r="O32" s="610"/>
      <c r="P32" s="610"/>
      <c r="Q32" s="610"/>
      <c r="R32" s="610"/>
      <c r="S32" s="610"/>
      <c r="T32" s="440"/>
      <c r="U32" s="435"/>
      <c r="V32" s="435"/>
      <c r="W32" s="435"/>
      <c r="X32" s="435"/>
      <c r="Y32" s="435"/>
      <c r="Z32" s="435"/>
      <c r="AA32" s="435"/>
      <c r="AB32" s="435"/>
      <c r="AC32" s="435"/>
      <c r="AD32" s="435"/>
      <c r="AE32" s="435"/>
      <c r="AF32" s="435"/>
      <c r="AG32" s="435"/>
      <c r="AH32" s="435"/>
      <c r="AI32" s="435"/>
      <c r="AJ32" s="435"/>
      <c r="AK32" s="435"/>
      <c r="AL32" s="435"/>
      <c r="AM32" s="435"/>
      <c r="AN32" s="435"/>
      <c r="AO32" s="435"/>
      <c r="AP32" s="435"/>
      <c r="AQ32" s="435"/>
      <c r="AR32" s="435"/>
      <c r="AS32" s="435"/>
      <c r="AT32" s="435"/>
      <c r="AU32" s="435"/>
    </row>
    <row r="33" spans="1:55" s="434" customFormat="1" ht="15" customHeight="1" x14ac:dyDescent="0.45">
      <c r="B33" s="442"/>
      <c r="C33" s="487"/>
      <c r="D33"/>
      <c r="E33" s="665" t="s">
        <v>690</v>
      </c>
      <c r="F33" s="492"/>
      <c r="G33" s="552"/>
      <c r="H33" s="694"/>
      <c r="I33" s="736"/>
      <c r="J33" s="504">
        <f t="shared" si="0"/>
        <v>0</v>
      </c>
      <c r="K33" s="552"/>
      <c r="L33" s="585"/>
      <c r="M33" s="610"/>
      <c r="N33" s="610"/>
      <c r="O33" s="610"/>
      <c r="P33" s="610"/>
      <c r="Q33" s="610"/>
      <c r="R33" s="610"/>
      <c r="S33" s="610"/>
      <c r="T33" s="440"/>
      <c r="U33" s="435"/>
      <c r="V33" s="435"/>
      <c r="W33" s="435"/>
      <c r="X33" s="435"/>
      <c r="Y33" s="435"/>
      <c r="Z33" s="435"/>
      <c r="AA33" s="435"/>
      <c r="AB33" s="435"/>
      <c r="AC33" s="435"/>
      <c r="AD33" s="435"/>
      <c r="AE33" s="435"/>
      <c r="AF33" s="435"/>
      <c r="AG33" s="435"/>
      <c r="AH33" s="435"/>
      <c r="AI33" s="435"/>
      <c r="AJ33" s="435"/>
      <c r="AK33" s="435"/>
      <c r="AL33" s="435"/>
      <c r="AM33" s="435"/>
      <c r="AN33" s="435"/>
      <c r="AO33" s="435"/>
      <c r="AP33" s="435"/>
      <c r="AQ33" s="435"/>
      <c r="AR33" s="435"/>
      <c r="AS33" s="435"/>
      <c r="AT33" s="435"/>
      <c r="AU33" s="435"/>
    </row>
    <row r="34" spans="1:55" s="434" customFormat="1" ht="15" customHeight="1" x14ac:dyDescent="0.45">
      <c r="B34" s="441"/>
      <c r="C34" s="487"/>
      <c r="D34" s="488"/>
      <c r="E34" s="489"/>
      <c r="F34" s="489"/>
      <c r="G34" s="552"/>
      <c r="H34" s="694"/>
      <c r="I34" s="736">
        <v>0</v>
      </c>
      <c r="J34" s="504">
        <f t="shared" si="0"/>
        <v>0</v>
      </c>
      <c r="K34" s="552"/>
      <c r="L34" s="585"/>
      <c r="M34" s="543"/>
      <c r="N34" s="543"/>
      <c r="O34" s="591"/>
      <c r="P34" s="591"/>
      <c r="Q34" s="591"/>
      <c r="R34" s="606"/>
      <c r="S34" s="606"/>
      <c r="T34" s="440"/>
      <c r="U34" s="435"/>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435"/>
      <c r="AU34" s="435"/>
    </row>
    <row r="35" spans="1:55" s="440" customFormat="1" ht="15" customHeight="1" x14ac:dyDescent="0.45">
      <c r="A35" s="434"/>
      <c r="B35" s="674">
        <v>3</v>
      </c>
      <c r="C35" s="673" t="s">
        <v>35</v>
      </c>
      <c r="D35" s="673"/>
      <c r="E35" s="673"/>
      <c r="F35" s="673"/>
      <c r="G35" s="558"/>
      <c r="H35" s="692"/>
      <c r="I35" s="735"/>
      <c r="J35" s="504">
        <f t="shared" si="0"/>
        <v>0</v>
      </c>
      <c r="K35" s="552"/>
      <c r="L35" s="585"/>
      <c r="M35" s="608" t="s">
        <v>497</v>
      </c>
      <c r="N35" s="591"/>
      <c r="O35" s="591"/>
      <c r="P35" s="591"/>
      <c r="Q35" s="591"/>
      <c r="R35" s="606"/>
      <c r="S35" s="606"/>
      <c r="U35" s="435"/>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4"/>
      <c r="AW35" s="434"/>
      <c r="AX35" s="434"/>
      <c r="AY35" s="434"/>
    </row>
    <row r="36" spans="1:55" s="434" customFormat="1" ht="15" customHeight="1" x14ac:dyDescent="0.45">
      <c r="B36" s="441"/>
      <c r="C36" s="487"/>
      <c r="D36" s="680" t="s">
        <v>9</v>
      </c>
      <c r="E36" s="543" t="s">
        <v>34</v>
      </c>
      <c r="F36" s="544"/>
      <c r="G36" s="558"/>
      <c r="H36" s="695">
        <f>SUM(I37:I41)</f>
        <v>0</v>
      </c>
      <c r="I36" s="735"/>
      <c r="J36" s="504">
        <f t="shared" si="0"/>
        <v>0</v>
      </c>
      <c r="K36" s="552"/>
      <c r="L36" s="585"/>
      <c r="M36" s="591"/>
      <c r="N36" s="543"/>
      <c r="O36" s="591"/>
      <c r="P36" s="591"/>
      <c r="Q36" s="591"/>
      <c r="R36" s="606"/>
      <c r="S36" s="606"/>
      <c r="T36" s="440"/>
      <c r="U36" s="435"/>
      <c r="V36" s="435"/>
      <c r="W36" s="435"/>
      <c r="X36" s="435"/>
      <c r="Y36" s="435"/>
      <c r="Z36" s="435"/>
      <c r="AA36" s="435"/>
      <c r="AB36" s="435"/>
      <c r="AC36" s="435"/>
      <c r="AD36" s="435"/>
      <c r="AE36" s="435"/>
      <c r="AF36" s="435"/>
      <c r="AG36" s="435"/>
      <c r="AH36" s="435"/>
      <c r="AI36" s="435"/>
      <c r="AJ36" s="435"/>
      <c r="AK36" s="435"/>
      <c r="AL36" s="435"/>
      <c r="AM36" s="435"/>
      <c r="AN36" s="435"/>
      <c r="AO36" s="435"/>
      <c r="AP36" s="435"/>
      <c r="AQ36" s="435"/>
      <c r="AR36" s="435"/>
      <c r="AS36" s="435"/>
      <c r="AT36" s="435"/>
      <c r="AU36" s="435"/>
    </row>
    <row r="37" spans="1:55" s="434" customFormat="1" ht="15" customHeight="1" x14ac:dyDescent="0.45">
      <c r="B37" s="441"/>
      <c r="C37" s="487"/>
      <c r="D37" s="528"/>
      <c r="E37" s="528" t="s">
        <v>9</v>
      </c>
      <c r="F37" s="489"/>
      <c r="G37" s="552"/>
      <c r="H37" s="694"/>
      <c r="I37" s="736"/>
      <c r="J37" s="504">
        <f t="shared" si="0"/>
        <v>0</v>
      </c>
      <c r="K37" s="552"/>
      <c r="L37" s="585"/>
      <c r="M37" s="591"/>
      <c r="N37" s="543"/>
      <c r="O37" s="591"/>
      <c r="P37" s="591"/>
      <c r="Q37" s="591"/>
      <c r="R37" s="606"/>
      <c r="S37" s="606"/>
      <c r="T37" s="440"/>
      <c r="U37" s="435"/>
      <c r="V37" s="435"/>
      <c r="W37" s="435"/>
      <c r="X37" s="435"/>
      <c r="Y37" s="435"/>
      <c r="Z37" s="435"/>
      <c r="AA37" s="435"/>
      <c r="AB37" s="435"/>
      <c r="AC37" s="435"/>
      <c r="AD37" s="435"/>
      <c r="AE37" s="435"/>
      <c r="AF37" s="435"/>
      <c r="AG37" s="435"/>
      <c r="AH37" s="435"/>
      <c r="AI37" s="435"/>
      <c r="AJ37" s="435"/>
      <c r="AK37" s="435"/>
      <c r="AL37" s="435"/>
      <c r="AM37" s="435"/>
      <c r="AN37" s="435"/>
      <c r="AO37" s="435"/>
      <c r="AP37" s="435"/>
      <c r="AQ37" s="435"/>
      <c r="AR37" s="435"/>
      <c r="AS37" s="435"/>
      <c r="AT37" s="435"/>
      <c r="AU37" s="435"/>
    </row>
    <row r="38" spans="1:55" s="434" customFormat="1" ht="15" customHeight="1" x14ac:dyDescent="0.45">
      <c r="B38" s="441"/>
      <c r="C38" s="487"/>
      <c r="D38" s="528"/>
      <c r="E38" s="528" t="s">
        <v>9</v>
      </c>
      <c r="F38" s="489"/>
      <c r="G38" s="552"/>
      <c r="H38" s="694"/>
      <c r="I38" s="736"/>
      <c r="J38" s="504">
        <f t="shared" si="0"/>
        <v>0</v>
      </c>
      <c r="K38" s="552"/>
      <c r="L38" s="585"/>
      <c r="M38" s="591"/>
      <c r="N38" s="543"/>
      <c r="O38" s="591"/>
      <c r="P38" s="591"/>
      <c r="Q38" s="591"/>
      <c r="R38" s="606"/>
      <c r="S38" s="606"/>
      <c r="T38" s="440"/>
      <c r="U38" s="435"/>
      <c r="V38" s="435"/>
      <c r="W38" s="435"/>
      <c r="X38" s="435"/>
      <c r="Y38" s="435"/>
      <c r="Z38" s="435"/>
      <c r="AA38" s="435"/>
      <c r="AB38" s="435"/>
      <c r="AC38" s="435"/>
      <c r="AD38" s="435"/>
      <c r="AE38" s="435"/>
      <c r="AF38" s="435"/>
      <c r="AG38" s="435"/>
      <c r="AH38" s="435"/>
      <c r="AI38" s="435"/>
      <c r="AJ38" s="435"/>
      <c r="AK38" s="435"/>
      <c r="AL38" s="435"/>
      <c r="AM38" s="435"/>
      <c r="AN38" s="435"/>
      <c r="AO38" s="435"/>
      <c r="AP38" s="435"/>
      <c r="AQ38" s="435"/>
      <c r="AR38" s="435"/>
      <c r="AS38" s="435"/>
      <c r="AT38" s="435"/>
      <c r="AU38" s="435"/>
    </row>
    <row r="39" spans="1:55" s="434" customFormat="1" ht="15" customHeight="1" x14ac:dyDescent="0.45">
      <c r="B39" s="441"/>
      <c r="C39" s="487"/>
      <c r="D39" s="528"/>
      <c r="E39" s="528" t="s">
        <v>9</v>
      </c>
      <c r="F39" s="489"/>
      <c r="G39" s="552"/>
      <c r="H39" s="694"/>
      <c r="I39" s="736"/>
      <c r="J39" s="504">
        <f>IF(ISERROR(I39/dépense)," ",(I39/dépense))</f>
        <v>0</v>
      </c>
      <c r="K39" s="552"/>
      <c r="L39" s="585"/>
      <c r="M39" s="591"/>
      <c r="N39" s="543"/>
      <c r="O39" s="591"/>
      <c r="P39" s="591"/>
      <c r="Q39" s="591"/>
      <c r="R39" s="606"/>
      <c r="S39" s="606"/>
      <c r="T39" s="440"/>
      <c r="U39" s="435"/>
      <c r="V39" s="435"/>
      <c r="W39" s="435"/>
      <c r="X39" s="435"/>
      <c r="Y39" s="435"/>
      <c r="Z39" s="435"/>
      <c r="AA39" s="435"/>
      <c r="AB39" s="435"/>
      <c r="AC39" s="435"/>
      <c r="AD39" s="435"/>
      <c r="AE39" s="435"/>
      <c r="AF39" s="435"/>
      <c r="AG39" s="435"/>
      <c r="AH39" s="435"/>
      <c r="AI39" s="435"/>
      <c r="AJ39" s="435"/>
      <c r="AK39" s="435"/>
      <c r="AL39" s="435"/>
      <c r="AM39" s="435"/>
      <c r="AN39" s="435"/>
      <c r="AO39" s="435"/>
      <c r="AP39" s="435"/>
      <c r="AQ39" s="435"/>
      <c r="AR39" s="435"/>
      <c r="AS39" s="435"/>
      <c r="AT39" s="435"/>
      <c r="AU39" s="435"/>
    </row>
    <row r="40" spans="1:55" s="434" customFormat="1" ht="15" customHeight="1" x14ac:dyDescent="0.45">
      <c r="B40" s="441"/>
      <c r="C40" s="487"/>
      <c r="D40" s="528"/>
      <c r="E40" s="528" t="s">
        <v>9</v>
      </c>
      <c r="F40" s="489"/>
      <c r="G40" s="552"/>
      <c r="H40" s="694"/>
      <c r="I40" s="736"/>
      <c r="J40" s="504">
        <f t="shared" si="0"/>
        <v>0</v>
      </c>
      <c r="K40" s="552"/>
      <c r="L40" s="585"/>
      <c r="M40" s="591"/>
      <c r="N40" s="543"/>
      <c r="O40" s="591"/>
      <c r="P40" s="591"/>
      <c r="Q40" s="591"/>
      <c r="R40" s="606"/>
      <c r="S40" s="606"/>
      <c r="T40" s="440"/>
      <c r="U40" s="435"/>
      <c r="V40" s="435"/>
      <c r="W40" s="435"/>
      <c r="X40" s="435"/>
      <c r="Y40" s="435"/>
      <c r="Z40" s="435"/>
      <c r="AA40" s="435"/>
      <c r="AB40" s="435"/>
      <c r="AC40" s="435"/>
      <c r="AD40" s="435"/>
      <c r="AE40" s="435"/>
      <c r="AF40" s="435"/>
      <c r="AG40" s="435"/>
      <c r="AH40" s="435"/>
      <c r="AI40" s="435"/>
      <c r="AJ40" s="435"/>
      <c r="AK40" s="435"/>
      <c r="AL40" s="435"/>
      <c r="AM40" s="435"/>
      <c r="AN40" s="435"/>
      <c r="AO40" s="435"/>
      <c r="AP40" s="435"/>
      <c r="AQ40" s="435"/>
      <c r="AR40" s="435"/>
      <c r="AS40" s="435"/>
      <c r="AT40" s="435"/>
      <c r="AU40" s="435"/>
    </row>
    <row r="41" spans="1:55" s="434" customFormat="1" ht="15" customHeight="1" x14ac:dyDescent="0.45">
      <c r="B41" s="442"/>
      <c r="C41" s="487"/>
      <c r="D41" s="528"/>
      <c r="E41" s="524" t="s">
        <v>9</v>
      </c>
      <c r="F41" s="489"/>
      <c r="G41" s="552"/>
      <c r="H41" s="694"/>
      <c r="I41" s="736">
        <v>0</v>
      </c>
      <c r="J41" s="504">
        <f t="shared" si="0"/>
        <v>0</v>
      </c>
      <c r="K41" s="552"/>
      <c r="L41" s="585"/>
      <c r="M41" s="591"/>
      <c r="N41" s="591"/>
      <c r="O41" s="591"/>
      <c r="P41" s="591"/>
      <c r="Q41" s="591"/>
      <c r="R41" s="606"/>
      <c r="S41" s="606"/>
      <c r="T41" s="440"/>
      <c r="U41" s="435"/>
      <c r="V41" s="435"/>
      <c r="W41" s="435"/>
      <c r="X41" s="435"/>
      <c r="Y41" s="435"/>
      <c r="Z41" s="435"/>
      <c r="AA41" s="435"/>
      <c r="AB41" s="435"/>
      <c r="AC41" s="435"/>
      <c r="AD41" s="435"/>
      <c r="AE41" s="435"/>
      <c r="AF41" s="435"/>
      <c r="AG41" s="435"/>
      <c r="AH41" s="435"/>
      <c r="AI41" s="435"/>
      <c r="AJ41" s="435"/>
      <c r="AK41" s="435"/>
      <c r="AL41" s="435"/>
      <c r="AM41" s="435"/>
      <c r="AN41" s="435"/>
      <c r="AO41" s="435"/>
      <c r="AP41" s="435"/>
      <c r="AQ41" s="435"/>
      <c r="AR41" s="435"/>
      <c r="AS41" s="435"/>
      <c r="AT41" s="435"/>
      <c r="AU41" s="435"/>
    </row>
    <row r="42" spans="1:55" s="434" customFormat="1" ht="27" customHeight="1" x14ac:dyDescent="0.45">
      <c r="B42" s="442"/>
      <c r="C42" s="675"/>
      <c r="D42" s="681" t="s">
        <v>9</v>
      </c>
      <c r="E42" s="746" t="s">
        <v>693</v>
      </c>
      <c r="F42" s="746"/>
      <c r="G42" s="558"/>
      <c r="H42" s="695">
        <f>SUM(I43:I47)</f>
        <v>0</v>
      </c>
      <c r="I42" s="734"/>
      <c r="J42" s="504">
        <f t="shared" si="0"/>
        <v>0</v>
      </c>
      <c r="K42" s="552"/>
      <c r="L42" s="585"/>
      <c r="M42" s="611"/>
      <c r="N42" s="591"/>
      <c r="O42" s="591"/>
      <c r="P42" s="591"/>
      <c r="Q42" s="591"/>
      <c r="R42" s="606"/>
      <c r="S42" s="606"/>
      <c r="T42" s="440"/>
      <c r="U42" s="435"/>
      <c r="V42" s="435"/>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row>
    <row r="43" spans="1:55" s="434" customFormat="1" x14ac:dyDescent="0.45">
      <c r="B43" s="442"/>
      <c r="C43" s="487"/>
      <c r="D43" s="534"/>
      <c r="E43" s="666" t="s">
        <v>9</v>
      </c>
      <c r="F43" s="535"/>
      <c r="G43" s="552"/>
      <c r="H43" s="694"/>
      <c r="I43" s="736">
        <v>0</v>
      </c>
      <c r="J43" s="691"/>
      <c r="K43" s="552"/>
      <c r="L43" s="585"/>
      <c r="M43" s="612"/>
      <c r="N43" s="612"/>
      <c r="O43" s="612"/>
      <c r="P43" s="591"/>
      <c r="Q43" s="591"/>
      <c r="R43" s="606"/>
      <c r="S43" s="606"/>
      <c r="T43" s="440"/>
      <c r="U43" s="435"/>
      <c r="V43" s="435"/>
      <c r="W43" s="435"/>
      <c r="X43" s="435"/>
      <c r="Y43" s="435"/>
      <c r="Z43" s="435"/>
      <c r="AA43" s="435"/>
      <c r="AB43" s="435"/>
      <c r="AC43" s="435"/>
      <c r="AD43" s="435"/>
      <c r="AE43" s="435"/>
      <c r="AF43" s="435"/>
      <c r="AG43" s="435"/>
      <c r="AH43" s="435"/>
      <c r="AI43" s="435"/>
      <c r="AJ43" s="435"/>
      <c r="AK43" s="435"/>
      <c r="AL43" s="435"/>
      <c r="AM43" s="435"/>
      <c r="AN43" s="435"/>
      <c r="AO43" s="435"/>
      <c r="AP43" s="435"/>
      <c r="AQ43" s="435"/>
      <c r="AR43" s="435"/>
      <c r="AS43" s="435"/>
      <c r="AT43" s="435"/>
      <c r="AU43" s="435"/>
    </row>
    <row r="44" spans="1:55" s="434" customFormat="1" x14ac:dyDescent="0.45">
      <c r="B44" s="442"/>
      <c r="C44" s="487"/>
      <c r="D44" s="534"/>
      <c r="E44" s="666" t="s">
        <v>9</v>
      </c>
      <c r="F44" s="535"/>
      <c r="G44" s="552"/>
      <c r="H44" s="694"/>
      <c r="I44" s="736">
        <v>0</v>
      </c>
      <c r="J44" s="691"/>
      <c r="K44" s="552"/>
      <c r="L44" s="585"/>
      <c r="M44" s="612"/>
      <c r="N44" s="612"/>
      <c r="O44" s="612"/>
      <c r="P44" s="591"/>
      <c r="Q44" s="591"/>
      <c r="R44" s="606"/>
      <c r="S44" s="606"/>
      <c r="T44" s="440"/>
      <c r="U44" s="435"/>
      <c r="V44" s="435"/>
      <c r="W44" s="435"/>
      <c r="X44" s="435"/>
      <c r="Y44" s="435"/>
      <c r="Z44" s="435"/>
      <c r="AA44" s="435"/>
      <c r="AB44" s="435"/>
      <c r="AC44" s="435"/>
      <c r="AD44" s="435"/>
      <c r="AE44" s="435"/>
      <c r="AF44" s="435"/>
      <c r="AG44" s="435"/>
      <c r="AH44" s="435"/>
      <c r="AI44" s="435"/>
      <c r="AJ44" s="435"/>
      <c r="AK44" s="435"/>
      <c r="AL44" s="435"/>
      <c r="AM44" s="435"/>
      <c r="AN44" s="435"/>
      <c r="AO44" s="435"/>
      <c r="AP44" s="435"/>
      <c r="AQ44" s="435"/>
      <c r="AR44" s="435"/>
      <c r="AS44" s="435"/>
      <c r="AT44" s="435"/>
      <c r="AU44" s="435"/>
    </row>
    <row r="45" spans="1:55" s="434" customFormat="1" x14ac:dyDescent="0.45">
      <c r="B45" s="442"/>
      <c r="C45" s="487"/>
      <c r="D45" s="534"/>
      <c r="E45" s="666" t="s">
        <v>9</v>
      </c>
      <c r="F45" s="535"/>
      <c r="G45" s="552"/>
      <c r="H45" s="694"/>
      <c r="I45" s="736">
        <v>0</v>
      </c>
      <c r="J45" s="707"/>
      <c r="K45" s="552"/>
      <c r="L45" s="585"/>
      <c r="M45" s="612"/>
      <c r="N45" s="612"/>
      <c r="O45" s="612"/>
      <c r="P45" s="591"/>
      <c r="Q45" s="591"/>
      <c r="R45" s="606"/>
      <c r="S45" s="606"/>
      <c r="T45" s="440"/>
      <c r="U45" s="435"/>
      <c r="V45" s="435"/>
      <c r="W45" s="435"/>
      <c r="X45" s="435"/>
      <c r="Y45" s="435"/>
      <c r="Z45" s="435"/>
      <c r="AA45" s="435"/>
      <c r="AB45" s="435"/>
      <c r="AC45" s="435"/>
      <c r="AD45" s="435"/>
      <c r="AE45" s="435"/>
      <c r="AF45" s="435"/>
      <c r="AG45" s="435"/>
      <c r="AH45" s="435"/>
      <c r="AI45" s="435"/>
      <c r="AJ45" s="435"/>
      <c r="AK45" s="435"/>
      <c r="AL45" s="435"/>
      <c r="AM45" s="435"/>
      <c r="AN45" s="435"/>
      <c r="AO45" s="435"/>
      <c r="AP45" s="435"/>
      <c r="AQ45" s="435"/>
      <c r="AR45" s="435"/>
      <c r="AS45" s="435"/>
      <c r="AT45" s="435"/>
      <c r="AU45" s="435"/>
    </row>
    <row r="46" spans="1:55" s="434" customFormat="1" x14ac:dyDescent="0.45">
      <c r="B46" s="442"/>
      <c r="C46" s="487"/>
      <c r="D46" s="406"/>
      <c r="E46" s="666" t="s">
        <v>9</v>
      </c>
      <c r="F46" s="489"/>
      <c r="G46" s="552"/>
      <c r="H46" s="694"/>
      <c r="I46" s="736">
        <v>0</v>
      </c>
      <c r="J46" s="506">
        <f t="shared" si="0"/>
        <v>0</v>
      </c>
      <c r="K46" s="552"/>
      <c r="L46" s="585"/>
      <c r="M46" s="613"/>
      <c r="N46" s="614"/>
      <c r="O46" s="615"/>
      <c r="P46" s="591"/>
      <c r="Q46" s="591"/>
      <c r="R46" s="606"/>
      <c r="S46" s="606"/>
      <c r="T46" s="440"/>
      <c r="U46" s="435"/>
      <c r="V46" s="435"/>
      <c r="W46" s="435"/>
      <c r="X46" s="435"/>
      <c r="Y46" s="435"/>
      <c r="Z46" s="435"/>
      <c r="AA46" s="435"/>
      <c r="AB46" s="435"/>
      <c r="AC46" s="435"/>
      <c r="AD46" s="435"/>
      <c r="AE46" s="435"/>
      <c r="AF46" s="435"/>
      <c r="AG46" s="435"/>
      <c r="AH46" s="435"/>
      <c r="AI46" s="435"/>
      <c r="AJ46" s="435"/>
      <c r="AK46" s="435"/>
      <c r="AL46" s="435"/>
      <c r="AM46" s="435"/>
      <c r="AN46" s="435"/>
      <c r="AO46" s="435"/>
      <c r="AP46" s="435"/>
      <c r="AQ46" s="435"/>
      <c r="AR46" s="435"/>
      <c r="AS46" s="435"/>
      <c r="AT46" s="435"/>
      <c r="AU46" s="435"/>
    </row>
    <row r="47" spans="1:55" s="434" customFormat="1" x14ac:dyDescent="0.45">
      <c r="B47" s="442"/>
      <c r="C47" s="487"/>
      <c r="D47" s="406"/>
      <c r="E47" t="s">
        <v>183</v>
      </c>
      <c r="F47" s="493"/>
      <c r="G47" s="552"/>
      <c r="H47" s="694"/>
      <c r="I47" s="736"/>
      <c r="J47" s="506">
        <f t="shared" si="0"/>
        <v>0</v>
      </c>
      <c r="K47" s="552"/>
      <c r="L47" s="585"/>
      <c r="M47" s="543"/>
      <c r="N47" s="543"/>
      <c r="O47" s="615"/>
      <c r="P47" s="591"/>
      <c r="Q47" s="591"/>
      <c r="R47" s="606"/>
      <c r="S47" s="606"/>
      <c r="T47" s="440"/>
      <c r="U47" s="435"/>
      <c r="V47" s="435"/>
      <c r="W47" s="435"/>
      <c r="X47" s="435"/>
      <c r="Y47" s="435"/>
      <c r="Z47" s="435"/>
      <c r="AA47" s="435"/>
      <c r="AB47" s="435"/>
      <c r="AC47" s="435"/>
      <c r="AD47" s="435"/>
      <c r="AE47" s="435"/>
      <c r="AF47" s="435"/>
      <c r="AG47" s="435"/>
      <c r="AH47" s="435"/>
      <c r="AI47" s="435"/>
      <c r="AJ47" s="435"/>
      <c r="AK47" s="435"/>
      <c r="AL47" s="435"/>
      <c r="AM47" s="435"/>
      <c r="AN47" s="435"/>
      <c r="AO47" s="435"/>
      <c r="AP47" s="435"/>
      <c r="AQ47" s="435"/>
      <c r="AR47" s="435"/>
      <c r="AS47" s="435"/>
      <c r="AT47" s="435"/>
      <c r="AU47" s="435"/>
    </row>
    <row r="48" spans="1:55" s="440" customFormat="1" ht="15" customHeight="1" x14ac:dyDescent="0.45">
      <c r="A48" s="434"/>
      <c r="B48" s="672">
        <v>4</v>
      </c>
      <c r="C48" s="673" t="s">
        <v>636</v>
      </c>
      <c r="D48" s="673"/>
      <c r="E48" s="682"/>
      <c r="F48" s="673"/>
      <c r="G48" s="558"/>
      <c r="H48" s="696">
        <f>SUM(I49:I51)</f>
        <v>0</v>
      </c>
      <c r="I48" s="735"/>
      <c r="J48" s="506">
        <f t="shared" si="0"/>
        <v>0</v>
      </c>
      <c r="K48" s="552"/>
      <c r="L48" s="605" t="s">
        <v>634</v>
      </c>
      <c r="M48" s="608" t="s">
        <v>498</v>
      </c>
      <c r="N48" s="591"/>
      <c r="O48" s="591"/>
      <c r="P48" s="591"/>
      <c r="Q48" s="591"/>
      <c r="R48" s="606"/>
      <c r="S48" s="606"/>
      <c r="U48" s="435"/>
      <c r="V48" s="435"/>
      <c r="W48" s="435"/>
      <c r="X48" s="435"/>
      <c r="Y48" s="435"/>
      <c r="Z48" s="435"/>
      <c r="AA48" s="435"/>
      <c r="AB48" s="435"/>
      <c r="AC48" s="435"/>
      <c r="AD48" s="435"/>
      <c r="AE48" s="435"/>
      <c r="AF48" s="435"/>
      <c r="AG48" s="435"/>
      <c r="AH48" s="435"/>
      <c r="AI48" s="435"/>
      <c r="AJ48" s="435"/>
      <c r="AK48" s="435"/>
      <c r="AL48" s="435"/>
      <c r="AM48" s="435"/>
      <c r="AN48" s="435"/>
      <c r="AO48" s="435"/>
      <c r="AP48" s="435"/>
      <c r="AQ48" s="435"/>
      <c r="AR48" s="435"/>
      <c r="AS48" s="435"/>
      <c r="AT48" s="435"/>
      <c r="AU48" s="435"/>
      <c r="AV48" s="438"/>
      <c r="AW48" s="438"/>
      <c r="AX48" s="438"/>
      <c r="AY48" s="438"/>
      <c r="AZ48" s="438"/>
      <c r="BA48" s="438"/>
      <c r="BB48" s="438"/>
      <c r="BC48" s="438"/>
    </row>
    <row r="49" spans="1:55" s="434" customFormat="1" ht="15" customHeight="1" x14ac:dyDescent="0.45">
      <c r="B49" s="442"/>
      <c r="C49" s="487"/>
      <c r="D49" s="406" t="s">
        <v>9</v>
      </c>
      <c r="E49" t="s">
        <v>411</v>
      </c>
      <c r="F49"/>
      <c r="G49" s="552"/>
      <c r="H49" s="694"/>
      <c r="I49" s="736"/>
      <c r="J49" s="709">
        <f t="shared" si="0"/>
        <v>0</v>
      </c>
      <c r="K49" s="694"/>
      <c r="L49" s="585"/>
      <c r="M49" s="543"/>
      <c r="N49" s="543"/>
      <c r="O49" s="591"/>
      <c r="P49" s="591"/>
      <c r="Q49" s="591"/>
      <c r="R49" s="606"/>
      <c r="S49" s="606"/>
      <c r="T49" s="440"/>
      <c r="U49" s="435"/>
      <c r="V49" s="435"/>
      <c r="W49" s="435"/>
      <c r="X49" s="435"/>
      <c r="Y49" s="435"/>
      <c r="Z49" s="435"/>
      <c r="AA49" s="435"/>
      <c r="AB49" s="435"/>
      <c r="AC49" s="435"/>
      <c r="AD49" s="435"/>
      <c r="AE49" s="435"/>
      <c r="AF49" s="435"/>
      <c r="AG49" s="435"/>
      <c r="AH49" s="435"/>
      <c r="AI49" s="435"/>
      <c r="AJ49" s="435"/>
      <c r="AK49" s="435"/>
      <c r="AL49" s="435"/>
      <c r="AM49" s="435"/>
      <c r="AN49" s="435"/>
      <c r="AO49" s="435"/>
      <c r="AP49" s="435"/>
      <c r="AQ49" s="435"/>
      <c r="AR49" s="435"/>
      <c r="AS49" s="435"/>
      <c r="AT49" s="435"/>
      <c r="AU49" s="435"/>
      <c r="AV49" s="438"/>
      <c r="AW49" s="438"/>
      <c r="AX49" s="438"/>
      <c r="AY49" s="438"/>
      <c r="AZ49" s="438"/>
      <c r="BA49" s="438"/>
      <c r="BB49" s="438"/>
      <c r="BC49" s="438"/>
    </row>
    <row r="50" spans="1:55" s="434" customFormat="1" ht="15" customHeight="1" x14ac:dyDescent="0.45">
      <c r="B50" s="442"/>
      <c r="C50" s="487"/>
      <c r="D50" s="406" t="s">
        <v>9</v>
      </c>
      <c r="E50" t="s">
        <v>10</v>
      </c>
      <c r="F50"/>
      <c r="G50" s="552"/>
      <c r="H50" s="697"/>
      <c r="I50" s="736"/>
      <c r="J50" s="709">
        <f t="shared" si="0"/>
        <v>0</v>
      </c>
      <c r="K50" s="694"/>
      <c r="L50" s="585"/>
      <c r="M50" s="616">
        <f>IF(G20=0.5,10000,12500)</f>
        <v>12500</v>
      </c>
      <c r="N50" s="617" t="str">
        <f>IF(I50&gt;M50,"ATTENTION : votre dépense est supérieure au max autorisé"," ")</f>
        <v xml:space="preserve"> </v>
      </c>
      <c r="O50" s="591"/>
      <c r="P50" s="591"/>
      <c r="Q50" s="591"/>
      <c r="R50" s="606"/>
      <c r="S50" s="606"/>
      <c r="T50" s="440"/>
      <c r="U50" s="435"/>
      <c r="V50" s="435"/>
      <c r="W50" s="435"/>
      <c r="X50" s="435"/>
      <c r="Y50" s="435"/>
      <c r="Z50" s="435"/>
      <c r="AA50" s="435"/>
      <c r="AB50" s="435"/>
      <c r="AC50" s="435"/>
      <c r="AD50" s="435"/>
      <c r="AE50" s="435"/>
      <c r="AF50" s="435"/>
      <c r="AG50" s="435"/>
      <c r="AH50" s="435"/>
      <c r="AI50" s="435"/>
      <c r="AJ50" s="435"/>
      <c r="AK50" s="435"/>
      <c r="AL50" s="435"/>
      <c r="AM50" s="435"/>
      <c r="AN50" s="435"/>
      <c r="AO50" s="435"/>
      <c r="AP50" s="435"/>
      <c r="AQ50" s="435"/>
      <c r="AR50" s="435"/>
      <c r="AS50" s="435"/>
      <c r="AT50" s="435"/>
      <c r="AU50" s="435"/>
      <c r="AV50" s="438"/>
      <c r="AW50" s="438"/>
      <c r="AX50" s="438"/>
      <c r="AY50" s="438"/>
      <c r="AZ50" s="438"/>
      <c r="BA50" s="438"/>
      <c r="BB50" s="438"/>
      <c r="BC50" s="438"/>
    </row>
    <row r="51" spans="1:55" s="434" customFormat="1" ht="15" customHeight="1" thickBot="1" x14ac:dyDescent="0.5">
      <c r="B51" s="442"/>
      <c r="C51" s="487"/>
      <c r="D51" s="406"/>
      <c r="E51"/>
      <c r="F51"/>
      <c r="G51" s="698"/>
      <c r="H51" s="698"/>
      <c r="I51" s="737"/>
      <c r="J51" s="709">
        <f t="shared" si="0"/>
        <v>0</v>
      </c>
      <c r="K51" s="698"/>
      <c r="L51" s="585"/>
      <c r="M51" s="613"/>
      <c r="N51" s="617" t="str">
        <f>IF(I50&gt;0,"attention : joindre la plaquette ou le rapport d'évaluation au dossier"," ")</f>
        <v xml:space="preserve"> </v>
      </c>
      <c r="O51" s="591"/>
      <c r="P51" s="591"/>
      <c r="Q51" s="591"/>
      <c r="R51" s="606"/>
      <c r="S51" s="606"/>
      <c r="T51" s="440"/>
      <c r="U51" s="435"/>
      <c r="V51" s="435"/>
      <c r="W51" s="435"/>
      <c r="X51" s="435"/>
      <c r="Y51" s="435"/>
      <c r="Z51" s="435"/>
      <c r="AA51" s="435"/>
      <c r="AB51" s="435"/>
      <c r="AC51" s="435"/>
      <c r="AD51" s="435"/>
      <c r="AE51" s="435"/>
      <c r="AF51" s="435"/>
      <c r="AG51" s="435"/>
      <c r="AH51" s="435"/>
      <c r="AI51" s="435"/>
      <c r="AJ51" s="435"/>
      <c r="AK51" s="435"/>
      <c r="AL51" s="435"/>
      <c r="AM51" s="435"/>
      <c r="AN51" s="435"/>
      <c r="AO51" s="435"/>
      <c r="AP51" s="435"/>
      <c r="AQ51" s="435"/>
      <c r="AR51" s="435"/>
      <c r="AS51" s="435"/>
      <c r="AT51" s="435"/>
      <c r="AU51" s="435"/>
      <c r="AV51" s="438"/>
      <c r="AW51" s="438"/>
      <c r="AX51" s="438"/>
      <c r="AY51" s="438"/>
      <c r="AZ51" s="438"/>
      <c r="BA51" s="438"/>
      <c r="BB51" s="438"/>
      <c r="BC51" s="438"/>
    </row>
    <row r="52" spans="1:55" s="446" customFormat="1" ht="21" customHeight="1" thickBot="1" x14ac:dyDescent="0.55000000000000004">
      <c r="A52" s="443"/>
      <c r="B52" s="667"/>
      <c r="C52" s="668" t="s">
        <v>637</v>
      </c>
      <c r="D52" s="669"/>
      <c r="E52" s="670"/>
      <c r="F52" s="671"/>
      <c r="G52" s="558"/>
      <c r="H52" s="705">
        <f>SUM(I53:I58)</f>
        <v>0</v>
      </c>
      <c r="I52" s="735"/>
      <c r="J52" s="709">
        <f t="shared" si="0"/>
        <v>0</v>
      </c>
      <c r="K52" s="692"/>
      <c r="L52" s="607" t="s">
        <v>635</v>
      </c>
      <c r="M52" s="618" t="s">
        <v>697</v>
      </c>
      <c r="N52" s="619"/>
      <c r="O52" s="619"/>
      <c r="P52" s="619"/>
      <c r="Q52" s="619"/>
      <c r="R52" s="620"/>
      <c r="S52" s="620"/>
      <c r="T52" s="620"/>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5"/>
      <c r="AW52" s="445"/>
      <c r="AX52" s="445"/>
      <c r="AY52" s="445"/>
      <c r="AZ52" s="445"/>
      <c r="BA52" s="445"/>
      <c r="BB52" s="445"/>
      <c r="BC52" s="445"/>
    </row>
    <row r="53" spans="1:55" s="438" customFormat="1" ht="15" customHeight="1" x14ac:dyDescent="0.45">
      <c r="A53" s="434"/>
      <c r="B53" s="442"/>
      <c r="C53" s="489"/>
      <c r="D53" s="491">
        <v>1</v>
      </c>
      <c r="E53" t="s">
        <v>37</v>
      </c>
      <c r="F53"/>
      <c r="G53" s="700" t="s">
        <v>446</v>
      </c>
      <c r="H53" s="552"/>
      <c r="I53" s="738"/>
      <c r="J53" s="709">
        <f t="shared" si="0"/>
        <v>0</v>
      </c>
      <c r="K53" s="708"/>
      <c r="L53" s="585"/>
      <c r="M53" s="591" t="s">
        <v>530</v>
      </c>
      <c r="N53" s="583"/>
      <c r="O53" s="583"/>
      <c r="P53" s="583"/>
      <c r="Q53" s="583"/>
      <c r="R53" s="440"/>
      <c r="S53" s="440"/>
      <c r="T53" s="440"/>
      <c r="U53" s="435"/>
      <c r="V53" s="435"/>
      <c r="W53" s="435"/>
      <c r="X53" s="435"/>
      <c r="Y53" s="435"/>
      <c r="Z53" s="435"/>
      <c r="AA53" s="435"/>
      <c r="AB53" s="435"/>
      <c r="AC53" s="435"/>
      <c r="AD53" s="435"/>
      <c r="AE53" s="435"/>
      <c r="AF53" s="435"/>
      <c r="AG53" s="435"/>
      <c r="AH53" s="435"/>
      <c r="AI53" s="435"/>
      <c r="AJ53" s="435"/>
      <c r="AK53" s="435"/>
      <c r="AL53" s="435"/>
      <c r="AM53" s="435"/>
      <c r="AN53" s="435"/>
      <c r="AO53" s="435"/>
      <c r="AP53" s="435"/>
      <c r="AQ53" s="435"/>
      <c r="AR53" s="435"/>
      <c r="AS53" s="435"/>
      <c r="AT53" s="435"/>
      <c r="AU53" s="435"/>
    </row>
    <row r="54" spans="1:55" s="438" customFormat="1" ht="15" customHeight="1" x14ac:dyDescent="0.45">
      <c r="A54" s="434"/>
      <c r="B54" s="442"/>
      <c r="C54" s="489"/>
      <c r="D54" s="489"/>
      <c r="E54" t="s">
        <v>691</v>
      </c>
      <c r="F54" t="s">
        <v>572</v>
      </c>
      <c r="G54" s="701"/>
      <c r="H54" s="552"/>
      <c r="I54" s="739">
        <f>IF(ISERROR(Paramètres!$C$97),"",Paramètres!$C$97)</f>
        <v>0</v>
      </c>
      <c r="J54" s="709">
        <f t="shared" si="0"/>
        <v>0</v>
      </c>
      <c r="K54" s="694"/>
      <c r="L54" s="621"/>
      <c r="M54" s="591" t="s">
        <v>534</v>
      </c>
      <c r="N54" s="583"/>
      <c r="O54" s="583"/>
      <c r="P54" s="583"/>
      <c r="Q54" s="583"/>
      <c r="R54" s="440"/>
      <c r="S54" s="440"/>
      <c r="T54" s="440"/>
      <c r="U54" s="435"/>
      <c r="V54" s="435"/>
      <c r="W54" s="435"/>
      <c r="X54" s="435"/>
      <c r="Y54" s="435"/>
      <c r="Z54" s="435"/>
      <c r="AA54" s="435"/>
      <c r="AB54" s="435"/>
      <c r="AC54" s="435"/>
      <c r="AD54" s="435"/>
      <c r="AE54" s="435"/>
      <c r="AF54" s="435"/>
      <c r="AG54" s="435"/>
      <c r="AH54" s="435"/>
      <c r="AI54" s="435"/>
      <c r="AJ54" s="435"/>
      <c r="AK54" s="435"/>
      <c r="AL54" s="435"/>
      <c r="AM54" s="435"/>
      <c r="AN54" s="435"/>
      <c r="AO54" s="435"/>
      <c r="AP54" s="435"/>
      <c r="AQ54" s="435"/>
      <c r="AR54" s="435"/>
      <c r="AS54" s="435"/>
      <c r="AT54" s="435"/>
      <c r="AU54" s="435"/>
    </row>
    <row r="55" spans="1:55" s="438" customFormat="1" ht="15" customHeight="1" x14ac:dyDescent="0.45">
      <c r="A55" s="434"/>
      <c r="B55" s="442"/>
      <c r="C55" s="489"/>
      <c r="D55" s="489"/>
      <c r="E55"/>
      <c r="F55" t="s">
        <v>163</v>
      </c>
      <c r="G55" s="702"/>
      <c r="H55" s="552"/>
      <c r="I55" s="738"/>
      <c r="J55" s="506">
        <f t="shared" si="0"/>
        <v>0</v>
      </c>
      <c r="K55" s="552"/>
      <c r="L55" s="621"/>
      <c r="M55" s="622"/>
      <c r="N55" s="623"/>
      <c r="O55" s="624"/>
      <c r="P55" s="583"/>
      <c r="Q55" s="583"/>
      <c r="R55" s="440"/>
      <c r="S55" s="440"/>
      <c r="T55" s="440"/>
      <c r="U55" s="435"/>
      <c r="V55" s="435"/>
      <c r="W55" s="435"/>
      <c r="X55" s="435"/>
      <c r="Y55" s="435"/>
      <c r="Z55" s="435"/>
      <c r="AA55" s="435"/>
      <c r="AB55" s="435"/>
      <c r="AC55" s="435"/>
      <c r="AD55" s="435"/>
      <c r="AE55" s="435"/>
      <c r="AF55" s="435"/>
      <c r="AG55" s="435"/>
      <c r="AH55" s="435"/>
      <c r="AI55" s="435"/>
      <c r="AJ55" s="435"/>
      <c r="AK55" s="435"/>
      <c r="AL55" s="435"/>
      <c r="AM55" s="435"/>
      <c r="AN55" s="435"/>
      <c r="AO55" s="435"/>
      <c r="AP55" s="435"/>
      <c r="AQ55" s="435"/>
      <c r="AR55" s="435"/>
      <c r="AS55" s="435"/>
      <c r="AT55" s="435"/>
      <c r="AU55" s="435"/>
    </row>
    <row r="56" spans="1:55" s="434" customFormat="1" ht="15" customHeight="1" x14ac:dyDescent="0.45">
      <c r="B56" s="442"/>
      <c r="C56" s="489"/>
      <c r="D56" s="491">
        <v>2</v>
      </c>
      <c r="E56" t="s">
        <v>37</v>
      </c>
      <c r="F56"/>
      <c r="G56" s="700" t="s">
        <v>446</v>
      </c>
      <c r="H56" s="552"/>
      <c r="I56" s="738"/>
      <c r="J56" s="506">
        <f t="shared" si="0"/>
        <v>0</v>
      </c>
      <c r="K56" s="552"/>
      <c r="L56" s="621"/>
      <c r="M56" s="622" t="s">
        <v>504</v>
      </c>
      <c r="N56" s="623">
        <v>60000</v>
      </c>
      <c r="O56" s="624" t="str">
        <f>IF(ISERROR(IF(OR(Salaire1,Salaire2,Salaire3,Salaire4)&gt;60000,"ATTENTION : le salaire max est de 60 000 euros","")),"",IF(OR(Salaire1,Salaire2,Salaire3,Salaire4)&gt;60000,"ATTENTION : le salaire max est de 60 000 euros",""))</f>
        <v/>
      </c>
      <c r="P56" s="583"/>
      <c r="Q56" s="583"/>
      <c r="R56" s="440"/>
      <c r="S56" s="440"/>
      <c r="T56" s="440"/>
      <c r="U56" s="435"/>
      <c r="V56" s="435"/>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8"/>
      <c r="AW56" s="438"/>
      <c r="AX56" s="438"/>
      <c r="AY56" s="438"/>
      <c r="AZ56" s="438"/>
      <c r="BA56" s="438"/>
      <c r="BB56" s="438"/>
      <c r="BC56" s="438"/>
    </row>
    <row r="57" spans="1:55" s="434" customFormat="1" ht="15" customHeight="1" x14ac:dyDescent="0.45">
      <c r="B57" s="442"/>
      <c r="C57" s="489"/>
      <c r="D57" s="489"/>
      <c r="E57" t="s">
        <v>692</v>
      </c>
      <c r="F57" t="s">
        <v>572</v>
      </c>
      <c r="G57" s="701"/>
      <c r="H57" s="552"/>
      <c r="I57" s="739">
        <f>IF(ISERROR(Paramètres!$D$97),"",Paramètres!$D$97)</f>
        <v>0</v>
      </c>
      <c r="J57" s="506">
        <f t="shared" si="0"/>
        <v>0</v>
      </c>
      <c r="K57" s="552"/>
      <c r="L57" s="621"/>
      <c r="M57" s="625"/>
      <c r="N57" s="626" t="str">
        <f>IF(Salaire2&gt;salairemax,"attention : le salaire sera plafonné à 60 K€ dans les calculs"," ")</f>
        <v xml:space="preserve"> </v>
      </c>
      <c r="O57" s="583"/>
      <c r="P57" s="583"/>
      <c r="Q57" s="583"/>
      <c r="R57" s="440"/>
      <c r="S57" s="440"/>
      <c r="T57" s="440"/>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8"/>
      <c r="AW57" s="438"/>
      <c r="AX57" s="438"/>
      <c r="AY57" s="438"/>
      <c r="AZ57" s="438"/>
      <c r="BA57" s="438"/>
      <c r="BB57" s="438"/>
      <c r="BC57" s="438"/>
    </row>
    <row r="58" spans="1:55" s="434" customFormat="1" ht="15" customHeight="1" x14ac:dyDescent="0.45">
      <c r="B58" s="442"/>
      <c r="C58" s="489"/>
      <c r="D58" s="489"/>
      <c r="E58"/>
      <c r="F58" t="s">
        <v>163</v>
      </c>
      <c r="G58" s="702"/>
      <c r="H58" s="552"/>
      <c r="I58" s="738"/>
      <c r="J58" s="506">
        <f t="shared" si="0"/>
        <v>0</v>
      </c>
      <c r="K58" s="552"/>
      <c r="L58" s="621"/>
      <c r="M58" s="627" t="str">
        <f>IF(OR(G55&gt;F11,G58&gt;F11,G61&gt;F11,G64&gt;F11),"Attention. Un des salariés est recruté après la fin du projet","")</f>
        <v/>
      </c>
      <c r="N58" s="628"/>
      <c r="O58" s="628"/>
      <c r="P58" s="583"/>
      <c r="Q58" s="583"/>
      <c r="R58" s="440"/>
      <c r="S58" s="440"/>
      <c r="T58" s="440"/>
      <c r="U58" s="435"/>
      <c r="V58" s="435"/>
      <c r="W58" s="435"/>
      <c r="X58" s="435"/>
      <c r="Y58" s="435"/>
      <c r="Z58" s="435"/>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8"/>
      <c r="AW58" s="438"/>
      <c r="AX58" s="438"/>
      <c r="AY58" s="438"/>
      <c r="AZ58" s="438"/>
      <c r="BA58" s="438"/>
      <c r="BB58" s="438"/>
      <c r="BC58" s="438"/>
    </row>
    <row r="59" spans="1:55" s="434" customFormat="1" ht="15" hidden="1" customHeight="1" x14ac:dyDescent="0.45">
      <c r="B59" s="442"/>
      <c r="C59" s="489"/>
      <c r="D59" s="491">
        <v>3</v>
      </c>
      <c r="E59" s="489" t="s">
        <v>37</v>
      </c>
      <c r="F59" s="494"/>
      <c r="G59" s="700" t="s">
        <v>446</v>
      </c>
      <c r="H59" s="511"/>
      <c r="I59" s="738"/>
      <c r="J59" s="506">
        <f t="shared" si="0"/>
        <v>0</v>
      </c>
      <c r="K59" s="504"/>
      <c r="L59" s="585"/>
      <c r="M59" s="625"/>
      <c r="N59" s="628"/>
      <c r="O59" s="628"/>
      <c r="P59" s="583"/>
      <c r="Q59" s="583"/>
      <c r="R59" s="440"/>
      <c r="S59" s="440"/>
      <c r="T59" s="440"/>
      <c r="U59" s="435"/>
      <c r="V59" s="435"/>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8"/>
      <c r="AW59" s="438"/>
      <c r="AX59" s="438"/>
      <c r="AY59" s="438"/>
      <c r="AZ59" s="438"/>
      <c r="BA59" s="438"/>
      <c r="BB59" s="438"/>
      <c r="BC59" s="438"/>
    </row>
    <row r="60" spans="1:55" s="434" customFormat="1" ht="15" hidden="1" customHeight="1" x14ac:dyDescent="0.45">
      <c r="B60" s="442"/>
      <c r="C60" s="489"/>
      <c r="D60" s="489"/>
      <c r="E60" s="489"/>
      <c r="F60" s="496" t="s">
        <v>38</v>
      </c>
      <c r="G60" s="701"/>
      <c r="H60" s="511"/>
      <c r="I60" s="739">
        <f>IF(ISERROR(Paramètres!$E$97),"",Paramètres!$E$97)</f>
        <v>0</v>
      </c>
      <c r="J60" s="506">
        <f t="shared" si="0"/>
        <v>0</v>
      </c>
      <c r="K60" s="504"/>
      <c r="L60" s="585"/>
      <c r="M60" s="625"/>
      <c r="N60" s="628"/>
      <c r="O60" s="628"/>
      <c r="P60" s="583"/>
      <c r="Q60" s="583"/>
      <c r="R60" s="440"/>
      <c r="S60" s="440"/>
      <c r="T60" s="440"/>
      <c r="U60" s="435"/>
      <c r="V60" s="435"/>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8"/>
      <c r="AW60" s="438"/>
      <c r="AX60" s="438"/>
      <c r="AY60" s="438"/>
      <c r="AZ60" s="438"/>
      <c r="BA60" s="438"/>
      <c r="BB60" s="438"/>
      <c r="BC60" s="438"/>
    </row>
    <row r="61" spans="1:55" s="434" customFormat="1" ht="15" hidden="1" customHeight="1" x14ac:dyDescent="0.45">
      <c r="B61" s="442"/>
      <c r="C61" s="489"/>
      <c r="D61" s="489"/>
      <c r="E61" s="489"/>
      <c r="F61" s="495" t="s">
        <v>163</v>
      </c>
      <c r="G61" s="702"/>
      <c r="H61" s="511"/>
      <c r="I61" s="738"/>
      <c r="J61" s="506">
        <f t="shared" si="0"/>
        <v>0</v>
      </c>
      <c r="K61" s="504"/>
      <c r="L61" s="585"/>
      <c r="M61" s="625"/>
      <c r="N61" s="626"/>
      <c r="O61" s="583"/>
      <c r="P61" s="583"/>
      <c r="Q61" s="583"/>
      <c r="R61" s="440"/>
      <c r="S61" s="440"/>
      <c r="T61" s="440"/>
      <c r="U61" s="435"/>
      <c r="V61" s="435"/>
      <c r="W61" s="435"/>
      <c r="X61" s="435"/>
      <c r="Y61" s="435"/>
      <c r="Z61" s="435"/>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8"/>
      <c r="AW61" s="438"/>
      <c r="AX61" s="438"/>
      <c r="AY61" s="438"/>
      <c r="AZ61" s="438"/>
      <c r="BA61" s="438"/>
      <c r="BB61" s="438"/>
      <c r="BC61" s="438"/>
    </row>
    <row r="62" spans="1:55" s="434" customFormat="1" ht="15" hidden="1" customHeight="1" x14ac:dyDescent="0.45">
      <c r="B62" s="442"/>
      <c r="C62" s="489"/>
      <c r="D62" s="491">
        <v>4</v>
      </c>
      <c r="E62" s="489" t="s">
        <v>37</v>
      </c>
      <c r="F62" s="494"/>
      <c r="G62" s="700" t="s">
        <v>446</v>
      </c>
      <c r="H62" s="511"/>
      <c r="I62" s="738"/>
      <c r="J62" s="506">
        <f t="shared" si="0"/>
        <v>0</v>
      </c>
      <c r="K62" s="504"/>
      <c r="L62" s="585"/>
      <c r="M62" s="543"/>
      <c r="N62" s="583"/>
      <c r="O62" s="583"/>
      <c r="P62" s="583"/>
      <c r="Q62" s="583"/>
      <c r="R62" s="440"/>
      <c r="S62" s="440"/>
      <c r="T62" s="440"/>
      <c r="U62" s="435"/>
      <c r="V62" s="435"/>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8"/>
      <c r="AW62" s="438"/>
      <c r="AX62" s="438"/>
      <c r="AY62" s="438"/>
      <c r="AZ62" s="438"/>
      <c r="BA62" s="438"/>
      <c r="BB62" s="438"/>
      <c r="BC62" s="438"/>
    </row>
    <row r="63" spans="1:55" s="434" customFormat="1" ht="15" hidden="1" customHeight="1" x14ac:dyDescent="0.45">
      <c r="B63" s="442"/>
      <c r="C63" s="489"/>
      <c r="D63" s="489"/>
      <c r="E63" s="489"/>
      <c r="F63" s="496" t="s">
        <v>38</v>
      </c>
      <c r="G63" s="701"/>
      <c r="H63" s="511"/>
      <c r="I63" s="739">
        <f>IF(ISERROR(Paramètres!$F$97),"",Paramètres!$F$97)</f>
        <v>0</v>
      </c>
      <c r="J63" s="506">
        <f t="shared" si="0"/>
        <v>0</v>
      </c>
      <c r="K63" s="504"/>
      <c r="L63" s="585"/>
      <c r="M63" s="625"/>
      <c r="N63" s="626" t="str">
        <f>IF(Salaire4&gt;salairemax,"attention : le salaire sera plafonné à 60 K€ dans les calculs"," ")</f>
        <v xml:space="preserve"> </v>
      </c>
      <c r="O63" s="583"/>
      <c r="P63" s="583"/>
      <c r="Q63" s="583"/>
      <c r="R63" s="440"/>
      <c r="S63" s="440"/>
      <c r="T63" s="440"/>
      <c r="U63" s="435"/>
      <c r="V63" s="435"/>
      <c r="W63" s="435"/>
      <c r="X63" s="435"/>
      <c r="Y63" s="435"/>
      <c r="Z63" s="435"/>
      <c r="AA63" s="435"/>
      <c r="AB63" s="435"/>
      <c r="AC63" s="435"/>
      <c r="AD63" s="435"/>
      <c r="AE63" s="435"/>
      <c r="AF63" s="435"/>
      <c r="AG63" s="435"/>
      <c r="AH63" s="435"/>
      <c r="AI63" s="435"/>
      <c r="AJ63" s="435"/>
      <c r="AK63" s="435"/>
      <c r="AL63" s="435"/>
      <c r="AM63" s="435"/>
      <c r="AN63" s="435"/>
      <c r="AO63" s="435"/>
      <c r="AP63" s="435"/>
      <c r="AQ63" s="435"/>
      <c r="AR63" s="435"/>
      <c r="AS63" s="435"/>
      <c r="AT63" s="435"/>
      <c r="AU63" s="435"/>
      <c r="AV63" s="438"/>
      <c r="AW63" s="438"/>
      <c r="AX63" s="438"/>
      <c r="AY63" s="438"/>
      <c r="AZ63" s="438"/>
      <c r="BA63" s="438"/>
      <c r="BB63" s="438"/>
      <c r="BC63" s="438"/>
    </row>
    <row r="64" spans="1:55" s="434" customFormat="1" ht="15" hidden="1" customHeight="1" x14ac:dyDescent="0.45">
      <c r="B64" s="447"/>
      <c r="C64" s="489"/>
      <c r="D64" s="489"/>
      <c r="E64" s="489"/>
      <c r="F64" s="495" t="s">
        <v>163</v>
      </c>
      <c r="G64" s="702"/>
      <c r="H64" s="511"/>
      <c r="I64" s="738"/>
      <c r="J64" s="506">
        <f t="shared" si="0"/>
        <v>0</v>
      </c>
      <c r="K64" s="504"/>
      <c r="L64" s="585"/>
      <c r="M64" s="625"/>
      <c r="N64" s="626"/>
      <c r="O64" s="583"/>
      <c r="P64" s="583"/>
      <c r="Q64" s="583"/>
      <c r="R64" s="440"/>
      <c r="S64" s="440"/>
      <c r="T64" s="440"/>
      <c r="U64" s="435"/>
      <c r="V64" s="435"/>
      <c r="W64" s="435"/>
      <c r="X64" s="435"/>
      <c r="Y64" s="435"/>
      <c r="Z64" s="435"/>
      <c r="AA64" s="435"/>
      <c r="AB64" s="435"/>
      <c r="AC64" s="435"/>
      <c r="AD64" s="435"/>
      <c r="AE64" s="435"/>
      <c r="AF64" s="435"/>
      <c r="AG64" s="435"/>
      <c r="AH64" s="435"/>
      <c r="AI64" s="435"/>
      <c r="AJ64" s="435"/>
      <c r="AK64" s="435"/>
      <c r="AL64" s="435"/>
      <c r="AM64" s="435"/>
      <c r="AN64" s="435"/>
      <c r="AO64" s="435"/>
      <c r="AP64" s="435"/>
      <c r="AQ64" s="435"/>
      <c r="AR64" s="435"/>
      <c r="AS64" s="435"/>
      <c r="AT64" s="435"/>
      <c r="AU64" s="435"/>
      <c r="AV64" s="438"/>
      <c r="AW64" s="438"/>
      <c r="AX64" s="438"/>
      <c r="AY64" s="438"/>
      <c r="AZ64" s="438"/>
      <c r="BA64" s="438"/>
      <c r="BB64" s="438"/>
      <c r="BC64" s="438"/>
    </row>
    <row r="65" spans="1:51" s="407" customFormat="1" ht="33" customHeight="1" x14ac:dyDescent="0.45">
      <c r="A65" s="539"/>
      <c r="B65" s="540" t="s">
        <v>638</v>
      </c>
      <c r="C65" s="541"/>
      <c r="D65" s="541"/>
      <c r="E65" s="541"/>
      <c r="F65" s="542"/>
      <c r="G65" s="703"/>
      <c r="H65" s="706"/>
      <c r="I65" s="740">
        <f>I66+I68+I77</f>
        <v>460</v>
      </c>
      <c r="J65" s="711">
        <f t="shared" si="0"/>
        <v>1</v>
      </c>
      <c r="K65" s="505"/>
      <c r="L65" s="585"/>
      <c r="M65" s="629" t="s">
        <v>450</v>
      </c>
      <c r="N65" s="630"/>
      <c r="O65" s="630"/>
      <c r="P65" s="630"/>
      <c r="Q65" s="630"/>
      <c r="R65" s="630"/>
      <c r="S65" s="630"/>
      <c r="T65" s="630"/>
      <c r="U65" s="433"/>
      <c r="V65" s="433"/>
      <c r="W65" s="433"/>
      <c r="X65" s="433"/>
      <c r="Y65" s="433"/>
      <c r="Z65" s="433"/>
      <c r="AA65" s="433"/>
      <c r="AB65" s="433"/>
      <c r="AC65" s="433"/>
      <c r="AD65" s="433"/>
      <c r="AE65" s="433"/>
      <c r="AF65" s="433"/>
      <c r="AG65" s="433"/>
      <c r="AH65" s="433"/>
      <c r="AI65" s="433"/>
      <c r="AJ65" s="433"/>
      <c r="AK65" s="433"/>
      <c r="AL65" s="433"/>
      <c r="AM65" s="433"/>
      <c r="AN65" s="433"/>
      <c r="AO65" s="433"/>
      <c r="AP65" s="433"/>
      <c r="AQ65" s="433"/>
      <c r="AR65" s="433"/>
      <c r="AS65" s="433"/>
      <c r="AT65" s="433"/>
      <c r="AU65" s="433"/>
      <c r="AV65" s="340"/>
      <c r="AW65" s="340"/>
      <c r="AX65" s="340"/>
      <c r="AY65" s="340"/>
    </row>
    <row r="66" spans="1:51" s="440" customFormat="1" ht="15" customHeight="1" x14ac:dyDescent="0.45">
      <c r="A66" s="434"/>
      <c r="B66" s="439">
        <v>1</v>
      </c>
      <c r="C66" s="486" t="s">
        <v>13</v>
      </c>
      <c r="D66" s="486"/>
      <c r="E66" s="486"/>
      <c r="F66" s="486"/>
      <c r="G66" s="558"/>
      <c r="H66" s="558"/>
      <c r="I66" s="741">
        <f>dépense-(I68+I77)</f>
        <v>184</v>
      </c>
      <c r="J66" s="712">
        <f>IF(ISERROR(I66/dépense)," ",(I66/dépense))</f>
        <v>0.4</v>
      </c>
      <c r="K66" s="710"/>
      <c r="L66" s="585"/>
      <c r="M66" s="631" t="s">
        <v>161</v>
      </c>
      <c r="N66" s="626" t="str">
        <f>IF(J66&lt;20%,"attention : minimum 20% de fonds propres"," ")</f>
        <v xml:space="preserve"> </v>
      </c>
      <c r="O66" s="583"/>
      <c r="P66" s="583"/>
      <c r="Q66" s="583"/>
      <c r="U66" s="435"/>
      <c r="V66" s="435"/>
      <c r="W66" s="435"/>
      <c r="X66" s="435"/>
      <c r="Y66" s="435"/>
      <c r="Z66" s="435"/>
      <c r="AA66" s="435"/>
      <c r="AB66" s="435"/>
      <c r="AC66" s="435"/>
      <c r="AD66" s="435"/>
      <c r="AE66" s="435"/>
      <c r="AF66" s="435"/>
      <c r="AG66" s="435"/>
      <c r="AH66" s="435"/>
      <c r="AI66" s="435"/>
      <c r="AJ66" s="435"/>
      <c r="AK66" s="435"/>
      <c r="AL66" s="435"/>
      <c r="AM66" s="435"/>
      <c r="AN66" s="435"/>
      <c r="AO66" s="435"/>
      <c r="AP66" s="435"/>
      <c r="AQ66" s="435"/>
      <c r="AR66" s="435"/>
      <c r="AS66" s="435"/>
      <c r="AT66" s="435"/>
      <c r="AU66" s="435"/>
      <c r="AV66" s="434"/>
      <c r="AW66" s="434"/>
      <c r="AX66" s="434"/>
      <c r="AY66" s="434"/>
    </row>
    <row r="67" spans="1:51" s="440" customFormat="1" ht="15" customHeight="1" x14ac:dyDescent="0.45">
      <c r="A67" s="434"/>
      <c r="B67" s="448"/>
      <c r="C67" s="490"/>
      <c r="D67" s="490"/>
      <c r="E67" s="490"/>
      <c r="F67" s="490"/>
      <c r="G67" s="512"/>
      <c r="H67" s="512"/>
      <c r="I67" s="742"/>
      <c r="J67" s="709">
        <f>IF(ISERROR(I67/dépense)," ",(I67/dépense))</f>
        <v>0</v>
      </c>
      <c r="K67" s="434"/>
      <c r="L67" s="585"/>
      <c r="M67" s="543"/>
      <c r="N67" s="626"/>
      <c r="O67" s="583"/>
      <c r="P67" s="583"/>
      <c r="Q67" s="583"/>
      <c r="U67" s="435"/>
      <c r="V67" s="435"/>
      <c r="W67" s="435"/>
      <c r="X67" s="435"/>
      <c r="Y67" s="435"/>
      <c r="Z67" s="435"/>
      <c r="AA67" s="435"/>
      <c r="AB67" s="435"/>
      <c r="AC67" s="435"/>
      <c r="AD67" s="435"/>
      <c r="AE67" s="435"/>
      <c r="AF67" s="435"/>
      <c r="AG67" s="435"/>
      <c r="AH67" s="435"/>
      <c r="AI67" s="435"/>
      <c r="AJ67" s="435"/>
      <c r="AK67" s="435"/>
      <c r="AL67" s="435"/>
      <c r="AM67" s="435"/>
      <c r="AN67" s="435"/>
      <c r="AO67" s="435"/>
      <c r="AP67" s="435"/>
      <c r="AQ67" s="435"/>
      <c r="AR67" s="435"/>
      <c r="AS67" s="435"/>
      <c r="AT67" s="435"/>
      <c r="AU67" s="435"/>
      <c r="AV67" s="434"/>
      <c r="AW67" s="434"/>
      <c r="AX67" s="434"/>
      <c r="AY67" s="434"/>
    </row>
    <row r="68" spans="1:51" s="451" customFormat="1" ht="15" customHeight="1" x14ac:dyDescent="0.45">
      <c r="A68" s="449"/>
      <c r="B68" s="439">
        <v>2</v>
      </c>
      <c r="C68" s="486" t="s">
        <v>14</v>
      </c>
      <c r="D68" s="486"/>
      <c r="E68" s="486"/>
      <c r="F68" s="486"/>
      <c r="G68" s="558"/>
      <c r="I68" s="689">
        <f>SUM(I69:I76)</f>
        <v>276</v>
      </c>
      <c r="J68" s="712">
        <f t="shared" ref="J68:J76" si="1">IF(ISERROR(I68/dépense)," ",(I68/dépense))</f>
        <v>0.6</v>
      </c>
      <c r="K68" s="692"/>
      <c r="L68" s="585"/>
      <c r="M68" s="632">
        <v>0.8</v>
      </c>
      <c r="N68" s="633" t="str">
        <f>IF(J68&gt;80%,"ATTENTION : votre dépense est financée à +80% par fonds publics"," ")</f>
        <v xml:space="preserve"> </v>
      </c>
      <c r="O68" s="634"/>
      <c r="P68" s="634"/>
      <c r="Q68" s="634"/>
      <c r="U68" s="450"/>
      <c r="V68" s="450"/>
      <c r="W68" s="450"/>
      <c r="X68" s="450"/>
      <c r="Y68" s="450"/>
      <c r="Z68" s="450"/>
      <c r="AA68" s="450"/>
      <c r="AB68" s="450"/>
      <c r="AC68" s="450"/>
      <c r="AD68" s="450"/>
      <c r="AE68" s="450"/>
      <c r="AF68" s="450"/>
      <c r="AG68" s="450"/>
      <c r="AH68" s="450"/>
      <c r="AI68" s="450"/>
      <c r="AJ68" s="450"/>
      <c r="AK68" s="450"/>
      <c r="AL68" s="450"/>
      <c r="AM68" s="450"/>
      <c r="AN68" s="450"/>
      <c r="AO68" s="450"/>
      <c r="AP68" s="450"/>
      <c r="AQ68" s="450"/>
      <c r="AR68" s="450"/>
      <c r="AS68" s="450"/>
      <c r="AT68" s="450"/>
      <c r="AU68" s="450"/>
      <c r="AV68" s="449"/>
      <c r="AW68" s="449"/>
      <c r="AX68" s="449"/>
      <c r="AY68" s="449"/>
    </row>
    <row r="69" spans="1:51" s="434" customFormat="1" ht="15" customHeight="1" x14ac:dyDescent="0.45">
      <c r="B69" s="452"/>
      <c r="C69" s="489"/>
      <c r="D69" s="406" t="s">
        <v>9</v>
      </c>
      <c r="E69" t="s">
        <v>0</v>
      </c>
      <c r="F69" s="530"/>
      <c r="G69" s="536"/>
      <c r="H69" s="679"/>
      <c r="I69" s="733">
        <f>IF((M69*dépense)&gt;plafond,plafond,(M69*dépense))</f>
        <v>276</v>
      </c>
      <c r="J69" s="712">
        <f t="shared" si="1"/>
        <v>0.6</v>
      </c>
      <c r="K69" s="506"/>
      <c r="L69" s="585"/>
      <c r="M69" s="635">
        <f>IF(Type="Innovation",60%,IF(inter="OUI",60%,60%))</f>
        <v>0.6</v>
      </c>
      <c r="N69" s="633" t="str">
        <f>IF(taux&gt;M69,"ATTENTION : votre taux d'aide excède ce qui vous est autorisé"," ")</f>
        <v xml:space="preserve"> </v>
      </c>
      <c r="O69" s="636"/>
      <c r="P69" s="583"/>
      <c r="Q69" s="583"/>
      <c r="R69" s="440"/>
      <c r="S69" s="440"/>
      <c r="T69" s="440"/>
      <c r="U69" s="435"/>
      <c r="V69" s="435"/>
      <c r="W69" s="435"/>
      <c r="X69" s="435"/>
      <c r="Y69" s="435"/>
      <c r="Z69" s="435"/>
      <c r="AA69" s="435"/>
      <c r="AB69" s="435"/>
      <c r="AC69" s="435"/>
      <c r="AD69" s="435"/>
      <c r="AE69" s="435"/>
      <c r="AF69" s="435"/>
      <c r="AG69" s="435"/>
      <c r="AH69" s="435"/>
      <c r="AI69" s="435"/>
      <c r="AJ69" s="435"/>
      <c r="AK69" s="435"/>
      <c r="AL69" s="435"/>
      <c r="AM69" s="435"/>
      <c r="AN69" s="435"/>
      <c r="AO69" s="435"/>
      <c r="AP69" s="435"/>
      <c r="AQ69" s="435"/>
      <c r="AR69" s="435"/>
      <c r="AS69" s="435"/>
      <c r="AT69" s="435"/>
      <c r="AU69" s="435"/>
    </row>
    <row r="70" spans="1:51" s="434" customFormat="1" ht="15" customHeight="1" x14ac:dyDescent="0.45">
      <c r="B70" s="452"/>
      <c r="C70" s="489"/>
      <c r="D70" s="406" t="s">
        <v>9</v>
      </c>
      <c r="E70" t="s">
        <v>6</v>
      </c>
      <c r="F70"/>
      <c r="G70" s="511"/>
      <c r="H70" s="511"/>
      <c r="I70" s="704"/>
      <c r="J70" s="712">
        <f t="shared" si="1"/>
        <v>0</v>
      </c>
      <c r="K70" s="556"/>
      <c r="L70" s="585"/>
      <c r="M70" s="543"/>
      <c r="N70" s="637" t="str">
        <f>IF(ISERROR(IF((aide/(durée/12))&gt;23000,"votre aide par an &gt;23K€ ; pensez à rédiger la convention"," "))," ",(IF((aide/(durée/12))&gt;23000,"votre aide par an &gt;23K€ ; pensez à rédiger la convention"," ")))</f>
        <v xml:space="preserve"> </v>
      </c>
      <c r="O70" s="636"/>
      <c r="P70" s="583"/>
      <c r="Q70" s="583"/>
      <c r="R70" s="440"/>
      <c r="S70" s="440"/>
      <c r="T70" s="440"/>
      <c r="U70" s="435"/>
      <c r="V70" s="435"/>
      <c r="W70" s="435"/>
      <c r="X70" s="435"/>
      <c r="Y70" s="435"/>
      <c r="Z70" s="435"/>
      <c r="AA70" s="435"/>
      <c r="AB70" s="435"/>
      <c r="AC70" s="435"/>
      <c r="AD70" s="435"/>
      <c r="AE70" s="435"/>
      <c r="AF70" s="435"/>
      <c r="AG70" s="435"/>
      <c r="AH70" s="435"/>
      <c r="AI70" s="435"/>
      <c r="AJ70" s="435"/>
      <c r="AK70" s="435"/>
      <c r="AL70" s="435"/>
      <c r="AM70" s="435"/>
      <c r="AN70" s="435"/>
      <c r="AO70" s="435"/>
      <c r="AP70" s="435"/>
      <c r="AQ70" s="435"/>
      <c r="AR70" s="435"/>
      <c r="AS70" s="435"/>
      <c r="AT70" s="435"/>
      <c r="AU70" s="435"/>
    </row>
    <row r="71" spans="1:51" s="434" customFormat="1" ht="15" customHeight="1" x14ac:dyDescent="0.45">
      <c r="B71" s="452"/>
      <c r="C71" s="489"/>
      <c r="D71" s="406" t="s">
        <v>9</v>
      </c>
      <c r="E71" t="s">
        <v>1</v>
      </c>
      <c r="F71"/>
      <c r="G71" s="511"/>
      <c r="H71" s="511"/>
      <c r="I71" s="704">
        <v>0</v>
      </c>
      <c r="J71" s="712">
        <f t="shared" si="1"/>
        <v>0</v>
      </c>
      <c r="K71" s="556"/>
      <c r="L71" s="585"/>
      <c r="M71" s="543"/>
      <c r="N71" s="583"/>
      <c r="O71" s="583"/>
      <c r="P71" s="583"/>
      <c r="Q71" s="583"/>
      <c r="R71" s="440"/>
      <c r="S71" s="440"/>
      <c r="T71" s="440"/>
      <c r="U71" s="435"/>
      <c r="V71" s="435"/>
      <c r="W71" s="435"/>
      <c r="X71" s="435"/>
      <c r="Y71" s="435"/>
      <c r="Z71" s="435"/>
      <c r="AA71" s="435"/>
      <c r="AB71" s="435"/>
      <c r="AC71" s="435"/>
      <c r="AD71" s="435"/>
      <c r="AE71" s="435"/>
      <c r="AF71" s="435"/>
      <c r="AG71" s="435"/>
      <c r="AH71" s="435"/>
      <c r="AI71" s="435"/>
      <c r="AJ71" s="435"/>
      <c r="AK71" s="435"/>
      <c r="AL71" s="435"/>
      <c r="AM71" s="435"/>
      <c r="AN71" s="435"/>
      <c r="AO71" s="435"/>
      <c r="AP71" s="435"/>
      <c r="AQ71" s="435"/>
      <c r="AR71" s="435"/>
      <c r="AS71" s="435"/>
      <c r="AT71" s="435"/>
      <c r="AU71" s="435"/>
    </row>
    <row r="72" spans="1:51" s="434" customFormat="1" ht="15" customHeight="1" x14ac:dyDescent="0.45">
      <c r="B72" s="452"/>
      <c r="C72" s="489"/>
      <c r="D72" s="406" t="s">
        <v>9</v>
      </c>
      <c r="E72" t="s">
        <v>5</v>
      </c>
      <c r="F72"/>
      <c r="G72" s="511"/>
      <c r="H72" s="511"/>
      <c r="I72" s="553"/>
      <c r="J72" s="712">
        <f t="shared" si="1"/>
        <v>0</v>
      </c>
      <c r="K72" s="556"/>
      <c r="L72" s="585"/>
      <c r="M72" s="543"/>
      <c r="N72" s="583"/>
      <c r="O72" s="583"/>
      <c r="P72" s="583"/>
      <c r="Q72" s="583"/>
      <c r="R72" s="440"/>
      <c r="S72" s="440"/>
      <c r="T72" s="440"/>
      <c r="U72" s="435"/>
      <c r="V72" s="435"/>
      <c r="W72" s="435"/>
      <c r="X72" s="435"/>
      <c r="Y72" s="435"/>
      <c r="Z72" s="435"/>
      <c r="AA72" s="435"/>
      <c r="AB72" s="435"/>
      <c r="AC72" s="435"/>
      <c r="AD72" s="435"/>
      <c r="AE72" s="435"/>
      <c r="AF72" s="435"/>
      <c r="AG72" s="435"/>
      <c r="AH72" s="435"/>
      <c r="AI72" s="435"/>
      <c r="AJ72" s="435"/>
      <c r="AK72" s="435"/>
      <c r="AL72" s="435"/>
      <c r="AM72" s="435"/>
      <c r="AN72" s="435"/>
      <c r="AO72" s="435"/>
      <c r="AP72" s="435"/>
      <c r="AQ72" s="435"/>
      <c r="AR72" s="435"/>
      <c r="AS72" s="435"/>
      <c r="AT72" s="435"/>
      <c r="AU72" s="435"/>
    </row>
    <row r="73" spans="1:51" s="434" customFormat="1" ht="15" customHeight="1" x14ac:dyDescent="0.45">
      <c r="B73" s="452"/>
      <c r="C73" s="489"/>
      <c r="D73" s="406" t="s">
        <v>9</v>
      </c>
      <c r="E73" t="s">
        <v>3</v>
      </c>
      <c r="F73"/>
      <c r="G73" s="511"/>
      <c r="H73" s="511"/>
      <c r="I73" s="553"/>
      <c r="J73" s="712">
        <f t="shared" si="1"/>
        <v>0</v>
      </c>
      <c r="K73" s="556"/>
      <c r="L73" s="585"/>
      <c r="M73" s="543"/>
      <c r="N73" s="583"/>
      <c r="O73" s="583"/>
      <c r="P73" s="583"/>
      <c r="Q73" s="583"/>
      <c r="R73" s="440"/>
      <c r="S73" s="440"/>
      <c r="T73" s="440"/>
      <c r="U73" s="435"/>
      <c r="V73" s="435"/>
      <c r="W73" s="435"/>
      <c r="X73" s="435"/>
      <c r="Y73" s="435"/>
      <c r="Z73" s="435"/>
      <c r="AA73" s="435"/>
      <c r="AB73" s="435"/>
      <c r="AC73" s="435"/>
      <c r="AD73" s="435"/>
      <c r="AE73" s="435"/>
      <c r="AF73" s="435"/>
      <c r="AG73" s="435"/>
      <c r="AH73" s="435"/>
      <c r="AI73" s="435"/>
      <c r="AJ73" s="435"/>
      <c r="AK73" s="435"/>
      <c r="AL73" s="435"/>
      <c r="AM73" s="435"/>
      <c r="AN73" s="435"/>
      <c r="AO73" s="435"/>
      <c r="AP73" s="435"/>
      <c r="AQ73" s="435"/>
      <c r="AR73" s="435"/>
      <c r="AS73" s="435"/>
      <c r="AT73" s="435"/>
      <c r="AU73" s="435"/>
    </row>
    <row r="74" spans="1:51" s="434" customFormat="1" ht="15" customHeight="1" x14ac:dyDescent="0.45">
      <c r="B74" s="452"/>
      <c r="C74" s="489"/>
      <c r="D74" s="406" t="s">
        <v>9</v>
      </c>
      <c r="E74" t="s">
        <v>4</v>
      </c>
      <c r="F74"/>
      <c r="G74" s="511"/>
      <c r="H74" s="511"/>
      <c r="I74" s="553"/>
      <c r="J74" s="533">
        <f t="shared" si="1"/>
        <v>0</v>
      </c>
      <c r="K74" s="557"/>
      <c r="L74" s="585"/>
      <c r="M74" s="638"/>
      <c r="N74" s="583"/>
      <c r="O74" s="583"/>
      <c r="P74" s="583"/>
      <c r="Q74" s="583"/>
      <c r="R74" s="440"/>
      <c r="S74" s="440"/>
      <c r="T74" s="440"/>
      <c r="U74" s="435"/>
      <c r="V74" s="435"/>
      <c r="W74" s="435"/>
      <c r="X74" s="435"/>
      <c r="Y74" s="435"/>
      <c r="Z74" s="435"/>
      <c r="AA74" s="435"/>
      <c r="AB74" s="435"/>
      <c r="AC74" s="435"/>
      <c r="AD74" s="435"/>
      <c r="AE74" s="435"/>
      <c r="AF74" s="435"/>
      <c r="AG74" s="435"/>
      <c r="AH74" s="435"/>
      <c r="AI74" s="435"/>
      <c r="AJ74" s="435"/>
      <c r="AK74" s="435"/>
      <c r="AL74" s="435"/>
      <c r="AM74" s="435"/>
      <c r="AN74" s="435"/>
      <c r="AO74" s="435"/>
      <c r="AP74" s="435"/>
      <c r="AQ74" s="435"/>
      <c r="AR74" s="435"/>
      <c r="AS74" s="435"/>
      <c r="AT74" s="435"/>
      <c r="AU74" s="435"/>
    </row>
    <row r="75" spans="1:51" s="434" customFormat="1" ht="15" customHeight="1" x14ac:dyDescent="0.45">
      <c r="B75" s="452"/>
      <c r="C75" s="489"/>
      <c r="D75" s="406" t="s">
        <v>9</v>
      </c>
      <c r="E75" t="s">
        <v>413</v>
      </c>
      <c r="F75"/>
      <c r="G75" s="511"/>
      <c r="H75" s="511"/>
      <c r="I75" s="553"/>
      <c r="J75" s="533">
        <f t="shared" si="1"/>
        <v>0</v>
      </c>
      <c r="K75" s="557"/>
      <c r="L75" s="585"/>
      <c r="M75" s="638"/>
      <c r="N75" s="583"/>
      <c r="O75" s="583"/>
      <c r="P75" s="583"/>
      <c r="Q75" s="583"/>
      <c r="R75" s="440"/>
      <c r="S75" s="440"/>
      <c r="T75" s="440"/>
      <c r="U75" s="435"/>
      <c r="V75" s="435"/>
      <c r="W75" s="435"/>
      <c r="X75" s="435"/>
      <c r="Y75" s="435"/>
      <c r="Z75" s="435"/>
      <c r="AA75" s="435"/>
      <c r="AB75" s="435"/>
      <c r="AC75" s="435"/>
      <c r="AD75" s="435"/>
      <c r="AE75" s="435"/>
      <c r="AF75" s="435"/>
      <c r="AG75" s="435"/>
      <c r="AH75" s="435"/>
      <c r="AI75" s="435"/>
      <c r="AJ75" s="435"/>
      <c r="AK75" s="435"/>
      <c r="AL75" s="435"/>
      <c r="AM75" s="435"/>
      <c r="AN75" s="435"/>
      <c r="AO75" s="435"/>
      <c r="AP75" s="435"/>
      <c r="AQ75" s="435"/>
      <c r="AR75" s="435"/>
      <c r="AS75" s="435"/>
      <c r="AT75" s="435"/>
      <c r="AU75" s="435"/>
    </row>
    <row r="76" spans="1:51" s="434" customFormat="1" ht="15" customHeight="1" x14ac:dyDescent="0.45">
      <c r="B76" s="452"/>
      <c r="C76" s="489"/>
      <c r="D76" s="406"/>
      <c r="E76"/>
      <c r="F76"/>
      <c r="G76" s="511"/>
      <c r="H76" s="511"/>
      <c r="I76" s="553"/>
      <c r="J76" s="533">
        <f t="shared" si="1"/>
        <v>0</v>
      </c>
      <c r="K76" s="557"/>
      <c r="L76" s="585"/>
      <c r="M76" s="638"/>
      <c r="N76" s="583"/>
      <c r="O76" s="583"/>
      <c r="P76" s="583"/>
      <c r="Q76" s="583"/>
      <c r="R76" s="440"/>
      <c r="S76" s="440"/>
      <c r="T76" s="440"/>
      <c r="U76" s="435"/>
      <c r="V76" s="435"/>
      <c r="W76" s="435"/>
      <c r="X76" s="435"/>
      <c r="Y76" s="435"/>
      <c r="Z76" s="435"/>
      <c r="AA76" s="435"/>
      <c r="AB76" s="435"/>
      <c r="AC76" s="435"/>
      <c r="AD76" s="435"/>
      <c r="AE76" s="435"/>
      <c r="AF76" s="435"/>
      <c r="AG76" s="435"/>
      <c r="AH76" s="435"/>
      <c r="AI76" s="435"/>
      <c r="AJ76" s="435"/>
      <c r="AK76" s="435"/>
      <c r="AL76" s="435"/>
      <c r="AM76" s="435"/>
      <c r="AN76" s="435"/>
      <c r="AO76" s="435"/>
      <c r="AP76" s="435"/>
      <c r="AQ76" s="435"/>
      <c r="AR76" s="435"/>
      <c r="AS76" s="435"/>
      <c r="AT76" s="435"/>
      <c r="AU76" s="435"/>
    </row>
    <row r="77" spans="1:51" s="455" customFormat="1" ht="15" customHeight="1" x14ac:dyDescent="0.45">
      <c r="A77" s="453"/>
      <c r="B77" s="439">
        <v>3</v>
      </c>
      <c r="C77" s="486" t="s">
        <v>15</v>
      </c>
      <c r="D77" s="486"/>
      <c r="E77" s="486"/>
      <c r="F77" s="486"/>
      <c r="G77" s="558"/>
      <c r="I77" s="689">
        <f>SUM(I78:I80)</f>
        <v>0</v>
      </c>
      <c r="J77" s="537" t="str">
        <f>IF(ISERROR(#REF!/dépense)," ",(#REF!/dépense))</f>
        <v xml:space="preserve"> </v>
      </c>
      <c r="K77" s="538"/>
      <c r="L77" s="585"/>
      <c r="M77" s="713" t="s">
        <v>698</v>
      </c>
      <c r="N77" s="639"/>
      <c r="O77" s="639"/>
      <c r="P77" s="639"/>
      <c r="Q77" s="639"/>
      <c r="U77" s="454"/>
      <c r="V77" s="454"/>
      <c r="W77" s="454"/>
      <c r="X77" s="454"/>
      <c r="Y77" s="454"/>
      <c r="Z77" s="454"/>
      <c r="AA77" s="454"/>
      <c r="AB77" s="454"/>
      <c r="AC77" s="454"/>
      <c r="AD77" s="454"/>
      <c r="AE77" s="454"/>
      <c r="AF77" s="454"/>
      <c r="AG77" s="454"/>
      <c r="AH77" s="454"/>
      <c r="AI77" s="454"/>
      <c r="AJ77" s="454"/>
      <c r="AK77" s="454"/>
      <c r="AL77" s="454"/>
      <c r="AM77" s="454"/>
      <c r="AN77" s="454"/>
      <c r="AO77" s="454"/>
      <c r="AP77" s="454"/>
      <c r="AQ77" s="454"/>
      <c r="AR77" s="454"/>
      <c r="AS77" s="454"/>
      <c r="AT77" s="454"/>
      <c r="AU77" s="454"/>
      <c r="AV77" s="453"/>
      <c r="AW77" s="453"/>
      <c r="AX77" s="453"/>
      <c r="AY77" s="453"/>
    </row>
    <row r="78" spans="1:51" s="453" customFormat="1" ht="15" customHeight="1" x14ac:dyDescent="0.45">
      <c r="B78" s="452"/>
      <c r="C78" s="490"/>
      <c r="D78" s="406" t="s">
        <v>9</v>
      </c>
      <c r="F78"/>
      <c r="G78"/>
      <c r="H78" s="512"/>
      <c r="I78" s="555"/>
      <c r="J78" s="690"/>
      <c r="K78" s="538"/>
      <c r="L78" s="585"/>
      <c r="M78" s="640"/>
      <c r="N78" s="639"/>
      <c r="O78" s="639"/>
      <c r="P78" s="639"/>
      <c r="Q78" s="639"/>
      <c r="R78" s="455"/>
      <c r="S78" s="455"/>
      <c r="T78" s="455"/>
      <c r="U78" s="454"/>
      <c r="V78" s="454"/>
      <c r="W78" s="454"/>
      <c r="X78" s="454"/>
      <c r="Y78" s="454"/>
      <c r="Z78" s="454"/>
      <c r="AA78" s="454"/>
      <c r="AB78" s="454"/>
      <c r="AC78" s="454"/>
      <c r="AD78" s="454"/>
      <c r="AE78" s="454"/>
      <c r="AF78" s="454"/>
      <c r="AG78" s="454"/>
      <c r="AH78" s="454"/>
      <c r="AI78" s="454"/>
      <c r="AJ78" s="454"/>
      <c r="AK78" s="454"/>
      <c r="AL78" s="454"/>
      <c r="AM78" s="454"/>
      <c r="AN78" s="454"/>
      <c r="AO78" s="454"/>
      <c r="AP78" s="454"/>
      <c r="AQ78" s="454"/>
      <c r="AR78" s="454"/>
      <c r="AS78" s="454"/>
      <c r="AT78" s="454"/>
      <c r="AU78" s="454"/>
    </row>
    <row r="79" spans="1:51" s="456" customFormat="1" ht="15" customHeight="1" x14ac:dyDescent="0.45">
      <c r="B79" s="457"/>
      <c r="C79" s="497"/>
      <c r="D79" s="406" t="s">
        <v>9</v>
      </c>
      <c r="E79"/>
      <c r="F79"/>
      <c r="G79" s="511"/>
      <c r="H79" s="511"/>
      <c r="I79" s="554"/>
      <c r="K79" s="557">
        <f>IF(ISERROR(I79/dépense)," ",(I79/dépense))</f>
        <v>0</v>
      </c>
      <c r="L79" s="585"/>
      <c r="M79" s="641"/>
      <c r="N79" s="642"/>
      <c r="O79" s="642"/>
      <c r="P79" s="642"/>
      <c r="Q79" s="642"/>
      <c r="R79" s="643"/>
      <c r="S79" s="643"/>
      <c r="T79" s="643"/>
      <c r="U79" s="458"/>
      <c r="V79" s="458"/>
      <c r="W79" s="458"/>
      <c r="X79" s="458"/>
      <c r="Y79" s="458"/>
      <c r="Z79" s="458"/>
      <c r="AA79" s="458"/>
      <c r="AB79" s="458"/>
      <c r="AC79" s="458"/>
      <c r="AD79" s="458"/>
      <c r="AE79" s="458"/>
      <c r="AF79" s="458"/>
      <c r="AG79" s="458"/>
      <c r="AH79" s="458"/>
      <c r="AI79" s="458"/>
      <c r="AJ79" s="458"/>
      <c r="AK79" s="458"/>
      <c r="AL79" s="458"/>
      <c r="AM79" s="458"/>
      <c r="AN79" s="458"/>
      <c r="AO79" s="458"/>
      <c r="AP79" s="458"/>
      <c r="AQ79" s="458"/>
      <c r="AR79" s="458"/>
      <c r="AS79" s="458"/>
      <c r="AT79" s="458"/>
      <c r="AU79" s="458"/>
    </row>
    <row r="80" spans="1:51" s="456" customFormat="1" ht="15" customHeight="1" x14ac:dyDescent="0.45">
      <c r="B80" s="457"/>
      <c r="C80" s="497"/>
      <c r="D80" s="406" t="s">
        <v>9</v>
      </c>
      <c r="E80"/>
      <c r="F80" s="406"/>
      <c r="G80" s="513"/>
      <c r="H80" s="513"/>
      <c r="I80" s="554"/>
      <c r="J80" s="557">
        <f t="shared" si="0"/>
        <v>0</v>
      </c>
      <c r="K80" s="557"/>
      <c r="L80" s="585"/>
      <c r="M80" s="641"/>
      <c r="N80" s="642"/>
      <c r="O80" s="642"/>
      <c r="P80" s="642"/>
      <c r="Q80" s="642"/>
      <c r="R80" s="643"/>
      <c r="S80" s="643"/>
      <c r="T80" s="643"/>
      <c r="U80" s="458"/>
      <c r="V80" s="458"/>
      <c r="W80" s="458"/>
      <c r="X80" s="458"/>
      <c r="Y80" s="458"/>
      <c r="Z80" s="458"/>
      <c r="AA80" s="458"/>
      <c r="AB80" s="458"/>
      <c r="AC80" s="458"/>
      <c r="AD80" s="458"/>
      <c r="AE80" s="458"/>
      <c r="AF80" s="458"/>
      <c r="AG80" s="458"/>
      <c r="AH80" s="458"/>
      <c r="AI80" s="458"/>
      <c r="AJ80" s="458"/>
      <c r="AK80" s="458"/>
      <c r="AL80" s="458"/>
      <c r="AM80" s="458"/>
      <c r="AN80" s="458"/>
      <c r="AO80" s="458"/>
      <c r="AP80" s="458"/>
      <c r="AQ80" s="458"/>
      <c r="AR80" s="458"/>
      <c r="AS80" s="458"/>
      <c r="AT80" s="458"/>
      <c r="AU80" s="458"/>
    </row>
    <row r="81" spans="2:47" s="434" customFormat="1" ht="15" customHeight="1" x14ac:dyDescent="0.45">
      <c r="B81" s="459"/>
      <c r="C81" s="498"/>
      <c r="D81" s="498"/>
      <c r="E81" s="498"/>
      <c r="F81" s="498"/>
      <c r="G81" s="498"/>
      <c r="H81" s="498"/>
      <c r="I81" s="501"/>
      <c r="J81" s="507"/>
      <c r="K81" s="507"/>
      <c r="L81" s="413"/>
      <c r="M81" s="414"/>
      <c r="N81" s="279"/>
      <c r="O81" s="279"/>
      <c r="P81" s="279"/>
      <c r="Q81" s="279"/>
      <c r="R81" s="435"/>
      <c r="S81" s="435"/>
      <c r="T81" s="435"/>
      <c r="U81" s="435"/>
      <c r="V81" s="435"/>
      <c r="W81" s="435"/>
      <c r="X81" s="435"/>
      <c r="Y81" s="435"/>
      <c r="Z81" s="435"/>
      <c r="AA81" s="435"/>
      <c r="AB81" s="435"/>
      <c r="AC81" s="435"/>
      <c r="AD81" s="435"/>
      <c r="AE81" s="435"/>
      <c r="AF81" s="435"/>
      <c r="AG81" s="435"/>
      <c r="AH81" s="435"/>
      <c r="AI81" s="435"/>
      <c r="AJ81" s="435"/>
      <c r="AK81" s="435"/>
      <c r="AL81" s="435"/>
      <c r="AM81" s="435"/>
      <c r="AN81" s="435"/>
      <c r="AO81" s="435"/>
      <c r="AP81" s="435"/>
      <c r="AQ81" s="435"/>
      <c r="AR81" s="435"/>
      <c r="AS81" s="435"/>
      <c r="AT81" s="435"/>
      <c r="AU81" s="435"/>
    </row>
    <row r="82" spans="2:47" s="434" customFormat="1" ht="15" customHeight="1" x14ac:dyDescent="0.45">
      <c r="B82" s="447"/>
      <c r="C82" s="489"/>
      <c r="D82" s="489"/>
      <c r="E82" s="499"/>
      <c r="F82" s="489"/>
      <c r="G82" s="489"/>
      <c r="H82" s="489"/>
      <c r="I82" s="500"/>
      <c r="J82" s="508"/>
      <c r="K82" s="508"/>
      <c r="L82" s="413"/>
      <c r="M82" s="414"/>
      <c r="N82" s="279"/>
      <c r="O82" s="279"/>
      <c r="P82" s="279"/>
      <c r="Q82" s="279"/>
      <c r="R82" s="435"/>
      <c r="S82" s="435"/>
      <c r="T82" s="435"/>
      <c r="U82" s="435"/>
      <c r="V82" s="435"/>
      <c r="W82" s="435"/>
      <c r="X82" s="435"/>
      <c r="Y82" s="435"/>
      <c r="Z82" s="435"/>
      <c r="AA82" s="435"/>
      <c r="AB82" s="435"/>
      <c r="AC82" s="435"/>
      <c r="AD82" s="435"/>
      <c r="AE82" s="435"/>
      <c r="AF82" s="435"/>
      <c r="AG82" s="435"/>
      <c r="AH82" s="435"/>
      <c r="AI82" s="435"/>
      <c r="AJ82" s="435"/>
      <c r="AK82" s="435"/>
      <c r="AL82" s="435"/>
      <c r="AM82" s="435"/>
      <c r="AN82" s="435"/>
      <c r="AO82" s="435"/>
      <c r="AP82" s="435"/>
      <c r="AQ82" s="435"/>
      <c r="AR82" s="435"/>
      <c r="AS82" s="435"/>
      <c r="AT82" s="435"/>
      <c r="AU82" s="435"/>
    </row>
    <row r="83" spans="2:47" s="434" customFormat="1" ht="15" customHeight="1" x14ac:dyDescent="0.45">
      <c r="B83" s="460"/>
      <c r="C83" s="489"/>
      <c r="D83" s="323" t="s">
        <v>486</v>
      </c>
      <c r="E83" s="489"/>
      <c r="F83" s="489"/>
      <c r="G83" s="489"/>
      <c r="H83" s="489"/>
      <c r="I83" s="500"/>
      <c r="J83" s="508"/>
      <c r="K83" s="508"/>
      <c r="L83" s="413"/>
      <c r="M83" s="414"/>
      <c r="N83" s="279"/>
      <c r="O83" s="279"/>
      <c r="P83" s="279"/>
      <c r="Q83" s="279"/>
      <c r="R83" s="435"/>
      <c r="S83" s="435"/>
      <c r="T83" s="435"/>
      <c r="U83" s="435"/>
      <c r="V83" s="435"/>
      <c r="W83" s="435"/>
      <c r="X83" s="435"/>
      <c r="Y83" s="435"/>
      <c r="Z83" s="435"/>
      <c r="AA83" s="435"/>
      <c r="AB83" s="435"/>
      <c r="AC83" s="435"/>
      <c r="AD83" s="435"/>
      <c r="AE83" s="435"/>
      <c r="AF83" s="435"/>
      <c r="AG83" s="435"/>
      <c r="AH83" s="435"/>
      <c r="AI83" s="435"/>
      <c r="AJ83" s="435"/>
      <c r="AK83" s="435"/>
      <c r="AL83" s="435"/>
      <c r="AM83" s="435"/>
      <c r="AN83" s="435"/>
      <c r="AO83" s="435"/>
      <c r="AP83" s="435"/>
      <c r="AQ83" s="435"/>
      <c r="AR83" s="435"/>
      <c r="AS83" s="435"/>
      <c r="AT83" s="435"/>
      <c r="AU83" s="435"/>
    </row>
    <row r="84" spans="2:47" s="434" customFormat="1" ht="15" customHeight="1" x14ac:dyDescent="0.45">
      <c r="B84" s="447"/>
      <c r="C84" s="489"/>
      <c r="D84" s="489"/>
      <c r="E84" s="489"/>
      <c r="F84" s="489"/>
      <c r="G84" s="489"/>
      <c r="H84" s="489"/>
      <c r="I84" s="502"/>
      <c r="J84" s="508"/>
      <c r="K84" s="508"/>
      <c r="L84" s="413"/>
      <c r="M84" s="414"/>
      <c r="N84" s="279"/>
      <c r="O84" s="279"/>
      <c r="P84" s="279"/>
      <c r="Q84" s="279"/>
      <c r="R84" s="435"/>
      <c r="S84" s="435"/>
      <c r="T84" s="435"/>
      <c r="U84" s="435"/>
      <c r="V84" s="435"/>
      <c r="W84" s="435"/>
      <c r="X84" s="435"/>
      <c r="Y84" s="435"/>
      <c r="Z84" s="435"/>
      <c r="AA84" s="435"/>
      <c r="AB84" s="435"/>
      <c r="AC84" s="435"/>
      <c r="AD84" s="435"/>
      <c r="AE84" s="435"/>
      <c r="AF84" s="435"/>
      <c r="AG84" s="435"/>
      <c r="AH84" s="435"/>
      <c r="AI84" s="435"/>
      <c r="AJ84" s="435"/>
      <c r="AK84" s="435"/>
      <c r="AL84" s="435"/>
      <c r="AM84" s="435"/>
      <c r="AN84" s="435"/>
      <c r="AO84" s="435"/>
      <c r="AP84" s="435"/>
      <c r="AQ84" s="435"/>
      <c r="AR84" s="435"/>
      <c r="AS84" s="435"/>
      <c r="AT84" s="435"/>
      <c r="AU84" s="435"/>
    </row>
    <row r="85" spans="2:47" s="434" customFormat="1" ht="15" customHeight="1" x14ac:dyDescent="0.45">
      <c r="B85" s="447"/>
      <c r="C85" s="489"/>
      <c r="D85" s="489"/>
      <c r="E85" s="489"/>
      <c r="F85" s="489"/>
      <c r="G85" s="489"/>
      <c r="H85" s="489"/>
      <c r="I85" s="500"/>
      <c r="J85" s="508"/>
      <c r="K85" s="508"/>
      <c r="L85" s="413"/>
      <c r="M85" s="414"/>
      <c r="N85" s="279"/>
      <c r="O85" s="279"/>
      <c r="P85" s="279"/>
      <c r="Q85" s="279"/>
      <c r="R85" s="435"/>
      <c r="S85" s="435"/>
      <c r="T85" s="435"/>
      <c r="U85" s="435"/>
      <c r="V85" s="435"/>
      <c r="W85" s="435"/>
      <c r="X85" s="435"/>
      <c r="Y85" s="435"/>
      <c r="Z85" s="435"/>
      <c r="AA85" s="435"/>
      <c r="AB85" s="435"/>
      <c r="AC85" s="435"/>
      <c r="AD85" s="435"/>
      <c r="AE85" s="435"/>
      <c r="AF85" s="435"/>
      <c r="AG85" s="435"/>
      <c r="AH85" s="435"/>
      <c r="AI85" s="435"/>
      <c r="AJ85" s="435"/>
      <c r="AK85" s="435"/>
      <c r="AL85" s="435"/>
      <c r="AM85" s="435"/>
      <c r="AN85" s="435"/>
      <c r="AO85" s="435"/>
      <c r="AP85" s="435"/>
      <c r="AQ85" s="435"/>
      <c r="AR85" s="435"/>
      <c r="AS85" s="435"/>
      <c r="AT85" s="435"/>
      <c r="AU85" s="435"/>
    </row>
    <row r="86" spans="2:47" ht="15" customHeight="1" x14ac:dyDescent="0.45">
      <c r="B86" s="461"/>
      <c r="C86" s="489"/>
      <c r="D86" s="489"/>
      <c r="E86" s="489"/>
      <c r="F86" s="489"/>
      <c r="G86" s="489"/>
      <c r="H86" s="489"/>
      <c r="I86" s="500"/>
      <c r="J86" s="508"/>
      <c r="K86" s="508"/>
      <c r="M86" s="414"/>
      <c r="N86" s="279"/>
    </row>
    <row r="87" spans="2:47" ht="15" customHeight="1" x14ac:dyDescent="0.45">
      <c r="B87" s="461"/>
      <c r="C87" s="489"/>
      <c r="D87" s="489"/>
      <c r="E87" s="489"/>
      <c r="F87" s="489"/>
      <c r="G87" s="489"/>
      <c r="H87" s="489"/>
      <c r="I87" s="500"/>
      <c r="J87" s="508"/>
      <c r="K87" s="508"/>
      <c r="M87" s="414"/>
      <c r="N87" s="279"/>
    </row>
    <row r="88" spans="2:47" ht="15" customHeight="1" x14ac:dyDescent="0.45">
      <c r="B88" s="461"/>
      <c r="C88" s="489"/>
      <c r="D88" s="489"/>
      <c r="E88" s="489"/>
      <c r="F88" s="489"/>
      <c r="G88" s="489"/>
      <c r="H88" s="489"/>
      <c r="I88" s="500"/>
      <c r="J88" s="508"/>
      <c r="K88" s="508"/>
      <c r="M88" s="414"/>
      <c r="N88" s="279"/>
    </row>
    <row r="89" spans="2:47" ht="15" customHeight="1" x14ac:dyDescent="0.45">
      <c r="B89" s="461"/>
      <c r="C89" s="489"/>
      <c r="D89" s="489"/>
      <c r="E89" s="489"/>
      <c r="F89" s="489"/>
      <c r="G89" s="489"/>
      <c r="H89" s="489"/>
      <c r="I89" s="500"/>
      <c r="J89" s="508"/>
      <c r="K89" s="508"/>
      <c r="M89" s="414"/>
      <c r="N89" s="279"/>
    </row>
    <row r="90" spans="2:47" ht="15" customHeight="1" x14ac:dyDescent="0.45">
      <c r="B90" s="461"/>
      <c r="C90" s="489"/>
      <c r="D90" s="489"/>
      <c r="E90" s="489"/>
      <c r="F90" s="489"/>
      <c r="G90" s="489"/>
      <c r="H90" s="489"/>
      <c r="I90" s="500"/>
      <c r="J90" s="508"/>
      <c r="K90" s="508"/>
      <c r="M90" s="414"/>
      <c r="N90" s="279"/>
    </row>
    <row r="91" spans="2:47" ht="15" customHeight="1" x14ac:dyDescent="0.45">
      <c r="B91" s="461"/>
      <c r="C91" s="489"/>
      <c r="D91" s="489"/>
      <c r="E91" s="489"/>
      <c r="F91" s="489"/>
      <c r="G91" s="489"/>
      <c r="H91" s="489"/>
      <c r="I91" s="500"/>
      <c r="J91" s="508"/>
      <c r="K91" s="508"/>
      <c r="M91" s="414"/>
      <c r="N91" s="279"/>
    </row>
    <row r="92" spans="2:47" ht="15" customHeight="1" x14ac:dyDescent="0.45">
      <c r="B92" s="461"/>
      <c r="C92" s="489"/>
      <c r="D92" s="489"/>
      <c r="E92" s="489"/>
      <c r="F92" s="489"/>
      <c r="G92" s="489"/>
      <c r="H92" s="489"/>
      <c r="I92" s="500"/>
      <c r="J92" s="509"/>
      <c r="K92" s="509"/>
      <c r="M92" s="414"/>
      <c r="N92" s="279"/>
    </row>
    <row r="93" spans="2:47" ht="15" customHeight="1" x14ac:dyDescent="0.45">
      <c r="B93" s="461"/>
      <c r="C93" s="489"/>
      <c r="D93" s="489"/>
      <c r="E93" s="489"/>
      <c r="F93" s="489"/>
      <c r="G93" s="489"/>
      <c r="H93" s="489"/>
      <c r="I93" s="500"/>
      <c r="J93" s="509"/>
      <c r="K93" s="509"/>
      <c r="M93" s="414"/>
      <c r="N93" s="279"/>
    </row>
    <row r="94" spans="2:47" x14ac:dyDescent="0.45">
      <c r="C94" s="321"/>
      <c r="D94" s="321"/>
      <c r="E94" s="321"/>
      <c r="F94" s="321"/>
      <c r="G94" s="321"/>
      <c r="H94" s="321"/>
      <c r="I94" s="503"/>
      <c r="J94" s="510"/>
      <c r="K94" s="510"/>
      <c r="M94" s="414"/>
      <c r="N94" s="279"/>
    </row>
    <row r="95" spans="2:47" x14ac:dyDescent="0.45">
      <c r="C95" s="321"/>
      <c r="D95" s="321"/>
      <c r="E95" s="321"/>
      <c r="F95" s="321"/>
      <c r="G95" s="321"/>
      <c r="H95" s="321"/>
      <c r="I95" s="503"/>
      <c r="J95" s="510"/>
      <c r="K95" s="510"/>
      <c r="M95" s="414"/>
      <c r="N95" s="279"/>
    </row>
    <row r="96" spans="2:47" x14ac:dyDescent="0.45">
      <c r="C96" s="321"/>
      <c r="D96" s="321"/>
      <c r="E96" s="321"/>
      <c r="F96" s="321"/>
      <c r="G96" s="321"/>
      <c r="H96" s="321"/>
      <c r="I96" s="503"/>
      <c r="J96" s="510"/>
      <c r="K96" s="510"/>
      <c r="M96" s="414"/>
      <c r="N96" s="279"/>
    </row>
    <row r="97" spans="7:14" x14ac:dyDescent="0.45">
      <c r="G97" s="321"/>
      <c r="H97" s="321"/>
      <c r="I97" s="503"/>
      <c r="J97" s="510"/>
      <c r="K97" s="510"/>
      <c r="M97" s="414"/>
      <c r="N97" s="279"/>
    </row>
    <row r="98" spans="7:14" x14ac:dyDescent="0.45">
      <c r="G98" s="321"/>
      <c r="H98" s="321"/>
      <c r="I98" s="503"/>
      <c r="J98" s="510"/>
      <c r="K98" s="510"/>
      <c r="M98" s="414"/>
      <c r="N98" s="279"/>
    </row>
    <row r="99" spans="7:14" x14ac:dyDescent="0.45">
      <c r="G99" s="321"/>
      <c r="H99" s="321"/>
      <c r="I99" s="503"/>
      <c r="J99" s="510"/>
      <c r="K99" s="510"/>
      <c r="M99" s="414"/>
      <c r="N99" s="279"/>
    </row>
    <row r="100" spans="7:14" x14ac:dyDescent="0.45">
      <c r="G100" s="321"/>
      <c r="H100" s="321"/>
      <c r="I100" s="503"/>
      <c r="J100" s="510"/>
      <c r="K100" s="510"/>
      <c r="M100" s="414"/>
      <c r="N100" s="279"/>
    </row>
    <row r="101" spans="7:14" x14ac:dyDescent="0.45">
      <c r="G101" s="321"/>
      <c r="H101" s="321"/>
      <c r="I101" s="503"/>
      <c r="J101" s="510"/>
      <c r="K101" s="510"/>
      <c r="M101" s="414"/>
      <c r="N101" s="279"/>
    </row>
    <row r="102" spans="7:14" x14ac:dyDescent="0.45">
      <c r="G102" s="321"/>
      <c r="H102" s="321"/>
      <c r="I102" s="503"/>
      <c r="J102" s="510"/>
      <c r="K102" s="510"/>
      <c r="M102" s="414"/>
      <c r="N102" s="279"/>
    </row>
    <row r="103" spans="7:14" x14ac:dyDescent="0.45">
      <c r="G103" s="321"/>
      <c r="H103" s="321"/>
      <c r="I103" s="503"/>
      <c r="J103" s="510"/>
      <c r="K103" s="510"/>
      <c r="M103" s="414"/>
      <c r="N103" s="279"/>
    </row>
    <row r="104" spans="7:14" x14ac:dyDescent="0.45">
      <c r="G104" s="321"/>
      <c r="H104" s="321"/>
      <c r="I104" s="503"/>
      <c r="J104" s="510"/>
      <c r="K104" s="510"/>
      <c r="M104" s="414"/>
      <c r="N104" s="279"/>
    </row>
    <row r="105" spans="7:14" x14ac:dyDescent="0.45">
      <c r="G105" s="321"/>
      <c r="H105" s="321"/>
      <c r="I105" s="503"/>
      <c r="J105" s="510"/>
      <c r="K105" s="510"/>
      <c r="M105" s="414"/>
      <c r="N105" s="279"/>
    </row>
    <row r="106" spans="7:14" x14ac:dyDescent="0.45">
      <c r="G106" s="321"/>
      <c r="H106" s="321"/>
      <c r="I106" s="503"/>
      <c r="J106" s="510"/>
      <c r="K106" s="510"/>
      <c r="M106" s="414"/>
      <c r="N106" s="279"/>
    </row>
    <row r="107" spans="7:14" x14ac:dyDescent="0.45">
      <c r="G107" s="321"/>
      <c r="H107" s="321"/>
      <c r="I107" s="503"/>
      <c r="J107" s="510"/>
      <c r="K107" s="510"/>
      <c r="M107" s="414"/>
      <c r="N107" s="279"/>
    </row>
    <row r="108" spans="7:14" x14ac:dyDescent="0.45">
      <c r="G108" s="321"/>
      <c r="H108" s="321"/>
      <c r="I108" s="503"/>
      <c r="J108" s="510"/>
      <c r="K108" s="510"/>
      <c r="M108" s="414"/>
      <c r="N108" s="279"/>
    </row>
    <row r="109" spans="7:14" x14ac:dyDescent="0.45">
      <c r="G109" s="321"/>
      <c r="H109" s="321"/>
      <c r="I109" s="503"/>
      <c r="J109" s="510"/>
      <c r="K109" s="510"/>
      <c r="M109" s="414"/>
      <c r="N109" s="279"/>
    </row>
    <row r="110" spans="7:14" x14ac:dyDescent="0.45">
      <c r="G110" s="321"/>
      <c r="H110" s="321"/>
      <c r="I110" s="503"/>
      <c r="J110" s="510"/>
      <c r="K110" s="510"/>
      <c r="M110" s="414"/>
      <c r="N110" s="279"/>
    </row>
    <row r="111" spans="7:14" x14ac:dyDescent="0.45">
      <c r="G111" s="321"/>
      <c r="H111" s="321"/>
      <c r="I111" s="503"/>
      <c r="J111" s="510"/>
      <c r="K111" s="510"/>
      <c r="M111" s="414"/>
      <c r="N111" s="279"/>
    </row>
    <row r="112" spans="7:14" x14ac:dyDescent="0.45">
      <c r="G112" s="321"/>
      <c r="H112" s="321"/>
      <c r="I112" s="503"/>
      <c r="J112" s="510"/>
      <c r="K112" s="510"/>
      <c r="M112" s="414"/>
      <c r="N112" s="279"/>
    </row>
    <row r="113" spans="7:14" x14ac:dyDescent="0.45">
      <c r="G113" s="321"/>
      <c r="H113" s="321"/>
      <c r="I113" s="503"/>
      <c r="J113" s="510"/>
      <c r="K113" s="510"/>
      <c r="M113" s="414"/>
      <c r="N113" s="279"/>
    </row>
    <row r="114" spans="7:14" x14ac:dyDescent="0.45">
      <c r="G114" s="321"/>
      <c r="H114" s="321"/>
      <c r="I114" s="503"/>
      <c r="J114" s="510"/>
      <c r="K114" s="510"/>
      <c r="M114" s="414"/>
      <c r="N114" s="279"/>
    </row>
    <row r="115" spans="7:14" x14ac:dyDescent="0.45">
      <c r="G115" s="321"/>
      <c r="H115" s="321"/>
      <c r="I115" s="503"/>
      <c r="J115" s="510"/>
      <c r="K115" s="510"/>
      <c r="M115" s="414"/>
      <c r="N115" s="279"/>
    </row>
    <row r="116" spans="7:14" x14ac:dyDescent="0.45">
      <c r="G116" s="321"/>
      <c r="H116" s="321"/>
      <c r="I116" s="503"/>
      <c r="J116" s="510"/>
      <c r="K116" s="510"/>
      <c r="M116" s="414"/>
      <c r="N116" s="279"/>
    </row>
    <row r="117" spans="7:14" x14ac:dyDescent="0.45">
      <c r="G117" s="321"/>
      <c r="H117" s="321"/>
      <c r="I117" s="503"/>
      <c r="J117" s="510"/>
      <c r="K117" s="510"/>
      <c r="M117" s="414"/>
      <c r="N117" s="279"/>
    </row>
    <row r="118" spans="7:14" x14ac:dyDescent="0.45">
      <c r="G118" s="321"/>
      <c r="H118" s="321"/>
      <c r="I118" s="503"/>
      <c r="J118" s="510"/>
      <c r="K118" s="510"/>
      <c r="M118" s="414"/>
      <c r="N118" s="279"/>
    </row>
    <row r="119" spans="7:14" x14ac:dyDescent="0.45">
      <c r="G119" s="321"/>
      <c r="H119" s="321"/>
      <c r="I119" s="503"/>
      <c r="J119" s="510"/>
      <c r="K119" s="510"/>
      <c r="M119" s="414"/>
      <c r="N119" s="279"/>
    </row>
    <row r="120" spans="7:14" x14ac:dyDescent="0.45">
      <c r="G120" s="321"/>
      <c r="H120" s="321"/>
      <c r="I120" s="503"/>
      <c r="J120" s="510"/>
      <c r="K120" s="510"/>
      <c r="M120" s="414"/>
      <c r="N120" s="279"/>
    </row>
    <row r="121" spans="7:14" x14ac:dyDescent="0.45">
      <c r="G121" s="321"/>
      <c r="H121" s="321"/>
      <c r="I121" s="503"/>
      <c r="J121" s="510"/>
      <c r="K121" s="510"/>
      <c r="M121" s="414"/>
      <c r="N121" s="279"/>
    </row>
    <row r="122" spans="7:14" x14ac:dyDescent="0.45">
      <c r="G122" s="321"/>
      <c r="H122" s="321"/>
      <c r="I122" s="503"/>
      <c r="J122" s="510"/>
      <c r="K122" s="510"/>
      <c r="M122" s="414"/>
      <c r="N122" s="279"/>
    </row>
    <row r="123" spans="7:14" x14ac:dyDescent="0.45">
      <c r="G123" s="321"/>
      <c r="H123" s="321"/>
      <c r="I123" s="503"/>
      <c r="J123" s="510"/>
      <c r="K123" s="510"/>
      <c r="M123" s="414"/>
      <c r="N123" s="279"/>
    </row>
    <row r="124" spans="7:14" x14ac:dyDescent="0.45">
      <c r="G124" s="321"/>
      <c r="H124" s="321"/>
      <c r="I124" s="503"/>
      <c r="J124" s="510"/>
      <c r="K124" s="510"/>
      <c r="M124" s="414"/>
      <c r="N124" s="279"/>
    </row>
    <row r="125" spans="7:14" x14ac:dyDescent="0.45">
      <c r="G125" s="321"/>
      <c r="H125" s="321"/>
      <c r="I125" s="503"/>
      <c r="J125" s="510"/>
      <c r="K125" s="510"/>
      <c r="M125" s="414"/>
      <c r="N125" s="279"/>
    </row>
    <row r="126" spans="7:14" x14ac:dyDescent="0.45">
      <c r="G126" s="321"/>
      <c r="H126" s="321"/>
      <c r="I126" s="503"/>
      <c r="J126" s="510"/>
      <c r="K126" s="510"/>
      <c r="M126" s="414"/>
      <c r="N126" s="279"/>
    </row>
    <row r="127" spans="7:14" x14ac:dyDescent="0.45">
      <c r="G127" s="321"/>
      <c r="H127" s="321"/>
      <c r="I127" s="503"/>
      <c r="J127" s="510"/>
      <c r="K127" s="510"/>
      <c r="M127" s="414"/>
      <c r="N127" s="279"/>
    </row>
    <row r="128" spans="7:14" x14ac:dyDescent="0.45">
      <c r="G128" s="321"/>
      <c r="H128" s="321"/>
      <c r="I128" s="503"/>
      <c r="J128" s="510"/>
      <c r="K128" s="510"/>
      <c r="M128" s="414"/>
      <c r="N128" s="279"/>
    </row>
    <row r="129" spans="7:14" x14ac:dyDescent="0.45">
      <c r="G129" s="321"/>
      <c r="H129" s="321"/>
      <c r="I129" s="503"/>
      <c r="J129" s="510"/>
      <c r="K129" s="510"/>
      <c r="M129" s="414"/>
      <c r="N129" s="279"/>
    </row>
    <row r="130" spans="7:14" x14ac:dyDescent="0.45">
      <c r="G130" s="321"/>
      <c r="H130" s="321"/>
      <c r="I130" s="503"/>
      <c r="J130" s="510"/>
      <c r="K130" s="510"/>
      <c r="M130" s="414"/>
      <c r="N130" s="279"/>
    </row>
    <row r="131" spans="7:14" x14ac:dyDescent="0.45">
      <c r="G131" s="321"/>
      <c r="H131" s="321"/>
      <c r="I131" s="503"/>
      <c r="J131" s="510"/>
      <c r="K131" s="510"/>
      <c r="M131" s="414"/>
      <c r="N131" s="279"/>
    </row>
    <row r="132" spans="7:14" x14ac:dyDescent="0.45">
      <c r="G132" s="321"/>
      <c r="H132" s="321"/>
      <c r="I132" s="503"/>
      <c r="J132" s="510"/>
      <c r="K132" s="510"/>
      <c r="M132" s="414"/>
      <c r="N132" s="279"/>
    </row>
    <row r="133" spans="7:14" x14ac:dyDescent="0.45">
      <c r="G133" s="321"/>
      <c r="H133" s="321"/>
      <c r="I133" s="503"/>
      <c r="J133" s="510"/>
      <c r="K133" s="510"/>
      <c r="M133" s="414"/>
      <c r="N133" s="279"/>
    </row>
    <row r="134" spans="7:14" x14ac:dyDescent="0.45">
      <c r="G134" s="321"/>
      <c r="H134" s="321"/>
      <c r="I134" s="503"/>
      <c r="J134" s="510"/>
      <c r="K134" s="510"/>
      <c r="M134" s="414"/>
      <c r="N134" s="279"/>
    </row>
    <row r="135" spans="7:14" x14ac:dyDescent="0.45">
      <c r="G135" s="321"/>
      <c r="H135" s="321"/>
      <c r="I135" s="503"/>
      <c r="J135" s="510"/>
      <c r="K135" s="510"/>
      <c r="M135" s="414"/>
      <c r="N135" s="279"/>
    </row>
    <row r="136" spans="7:14" x14ac:dyDescent="0.45">
      <c r="G136" s="321"/>
      <c r="H136" s="321"/>
      <c r="I136" s="503"/>
      <c r="J136" s="510"/>
      <c r="K136" s="510"/>
      <c r="M136" s="414"/>
      <c r="N136" s="279"/>
    </row>
    <row r="137" spans="7:14" x14ac:dyDescent="0.45">
      <c r="G137" s="321"/>
      <c r="H137" s="321"/>
      <c r="I137" s="503"/>
      <c r="J137" s="510"/>
      <c r="K137" s="510"/>
      <c r="M137" s="414"/>
      <c r="N137" s="279"/>
    </row>
    <row r="138" spans="7:14" x14ac:dyDescent="0.45">
      <c r="G138" s="321"/>
      <c r="H138" s="321"/>
      <c r="I138" s="503"/>
      <c r="J138" s="510"/>
      <c r="K138" s="510"/>
      <c r="M138" s="414"/>
      <c r="N138" s="279"/>
    </row>
    <row r="139" spans="7:14" x14ac:dyDescent="0.45">
      <c r="G139" s="321"/>
      <c r="H139" s="321"/>
      <c r="I139" s="503"/>
      <c r="J139" s="510"/>
      <c r="K139" s="510"/>
      <c r="M139" s="414"/>
      <c r="N139" s="279"/>
    </row>
    <row r="140" spans="7:14" x14ac:dyDescent="0.45">
      <c r="G140" s="321"/>
      <c r="H140" s="321"/>
      <c r="I140" s="503"/>
      <c r="J140" s="510"/>
      <c r="K140" s="510"/>
      <c r="M140" s="414"/>
      <c r="N140" s="279"/>
    </row>
    <row r="141" spans="7:14" x14ac:dyDescent="0.45">
      <c r="G141" s="321"/>
      <c r="H141" s="321"/>
      <c r="I141" s="503"/>
      <c r="J141" s="510"/>
      <c r="K141" s="510"/>
      <c r="M141" s="414"/>
      <c r="N141" s="279"/>
    </row>
    <row r="142" spans="7:14" x14ac:dyDescent="0.45">
      <c r="G142" s="321"/>
      <c r="H142" s="321"/>
      <c r="I142" s="503"/>
      <c r="J142" s="510"/>
      <c r="K142" s="510"/>
      <c r="M142" s="414"/>
      <c r="N142" s="279"/>
    </row>
    <row r="143" spans="7:14" x14ac:dyDescent="0.45">
      <c r="G143" s="321"/>
      <c r="H143" s="321"/>
      <c r="I143" s="503"/>
      <c r="J143" s="510"/>
      <c r="K143" s="510"/>
      <c r="M143" s="414"/>
      <c r="N143" s="279"/>
    </row>
    <row r="144" spans="7:14" x14ac:dyDescent="0.45">
      <c r="G144" s="321"/>
      <c r="H144" s="321"/>
      <c r="I144" s="503"/>
      <c r="J144" s="510"/>
      <c r="K144" s="510"/>
      <c r="M144" s="414"/>
      <c r="N144" s="279"/>
    </row>
    <row r="145" spans="7:14" x14ac:dyDescent="0.45">
      <c r="G145" s="321"/>
      <c r="H145" s="321"/>
      <c r="I145" s="503"/>
      <c r="J145" s="510"/>
      <c r="K145" s="510"/>
      <c r="M145" s="414"/>
      <c r="N145" s="279"/>
    </row>
    <row r="146" spans="7:14" x14ac:dyDescent="0.45">
      <c r="G146" s="321"/>
      <c r="H146" s="321"/>
      <c r="I146" s="503"/>
      <c r="J146" s="510"/>
      <c r="K146" s="510"/>
      <c r="M146" s="414"/>
      <c r="N146" s="279"/>
    </row>
    <row r="147" spans="7:14" x14ac:dyDescent="0.45">
      <c r="G147" s="321"/>
      <c r="H147" s="321"/>
      <c r="I147" s="503"/>
      <c r="J147" s="510"/>
      <c r="K147" s="510"/>
      <c r="M147" s="414"/>
      <c r="N147" s="279"/>
    </row>
    <row r="148" spans="7:14" x14ac:dyDescent="0.45">
      <c r="G148" s="321"/>
      <c r="H148" s="321"/>
      <c r="I148" s="503"/>
      <c r="J148" s="510"/>
      <c r="K148" s="510"/>
      <c r="M148" s="414"/>
      <c r="N148" s="279"/>
    </row>
    <row r="149" spans="7:14" x14ac:dyDescent="0.45">
      <c r="G149" s="321"/>
      <c r="H149" s="321"/>
      <c r="I149" s="503"/>
      <c r="J149" s="510"/>
      <c r="K149" s="510"/>
      <c r="M149" s="414"/>
      <c r="N149" s="279"/>
    </row>
    <row r="150" spans="7:14" x14ac:dyDescent="0.45">
      <c r="G150" s="321"/>
      <c r="H150" s="321"/>
      <c r="I150" s="503"/>
      <c r="J150" s="510"/>
      <c r="K150" s="510"/>
      <c r="M150" s="414"/>
      <c r="N150" s="279"/>
    </row>
    <row r="151" spans="7:14" x14ac:dyDescent="0.45">
      <c r="G151" s="321"/>
      <c r="H151" s="321"/>
      <c r="I151" s="503"/>
      <c r="J151" s="510"/>
      <c r="K151" s="510"/>
      <c r="M151" s="414"/>
      <c r="N151" s="279"/>
    </row>
    <row r="152" spans="7:14" x14ac:dyDescent="0.45">
      <c r="G152" s="321"/>
      <c r="H152" s="321"/>
      <c r="I152" s="503"/>
      <c r="J152" s="510"/>
      <c r="K152" s="510"/>
      <c r="M152" s="414"/>
      <c r="N152" s="279"/>
    </row>
    <row r="153" spans="7:14" x14ac:dyDescent="0.45">
      <c r="G153" s="321"/>
      <c r="H153" s="321"/>
      <c r="I153" s="503"/>
      <c r="J153" s="510"/>
      <c r="K153" s="510"/>
      <c r="M153" s="414"/>
      <c r="N153" s="279"/>
    </row>
    <row r="154" spans="7:14" x14ac:dyDescent="0.45">
      <c r="G154" s="321"/>
      <c r="H154" s="321"/>
      <c r="I154" s="503"/>
      <c r="J154" s="510"/>
      <c r="K154" s="510"/>
      <c r="M154" s="414"/>
      <c r="N154" s="279"/>
    </row>
    <row r="155" spans="7:14" x14ac:dyDescent="0.45">
      <c r="G155" s="321"/>
      <c r="H155" s="321"/>
      <c r="I155" s="503"/>
      <c r="J155" s="510"/>
      <c r="K155" s="510"/>
      <c r="M155" s="414"/>
      <c r="N155" s="279"/>
    </row>
    <row r="156" spans="7:14" x14ac:dyDescent="0.45">
      <c r="G156" s="321"/>
      <c r="H156" s="321"/>
      <c r="I156" s="503"/>
      <c r="J156" s="510"/>
      <c r="K156" s="510"/>
      <c r="M156" s="414"/>
      <c r="N156" s="279"/>
    </row>
    <row r="157" spans="7:14" x14ac:dyDescent="0.45">
      <c r="G157" s="321"/>
      <c r="H157" s="321"/>
      <c r="I157" s="503"/>
      <c r="J157" s="510"/>
      <c r="K157" s="510"/>
      <c r="M157" s="414"/>
      <c r="N157" s="279"/>
    </row>
    <row r="158" spans="7:14" x14ac:dyDescent="0.45">
      <c r="G158" s="321"/>
      <c r="H158" s="321"/>
      <c r="I158" s="503"/>
      <c r="J158" s="510"/>
      <c r="K158" s="510"/>
      <c r="M158" s="414"/>
      <c r="N158" s="279"/>
    </row>
    <row r="159" spans="7:14" x14ac:dyDescent="0.45">
      <c r="G159" s="321"/>
      <c r="H159" s="321"/>
      <c r="I159" s="503"/>
      <c r="J159" s="510"/>
      <c r="K159" s="510"/>
      <c r="M159" s="414"/>
      <c r="N159" s="279"/>
    </row>
    <row r="160" spans="7:14" x14ac:dyDescent="0.45">
      <c r="G160" s="321"/>
      <c r="H160" s="321"/>
      <c r="I160" s="503"/>
      <c r="J160" s="510"/>
      <c r="K160" s="510"/>
      <c r="M160" s="414"/>
      <c r="N160" s="279"/>
    </row>
    <row r="161" spans="7:14" x14ac:dyDescent="0.45">
      <c r="G161" s="321"/>
      <c r="H161" s="321"/>
      <c r="I161" s="503"/>
      <c r="J161" s="510"/>
      <c r="K161" s="510"/>
      <c r="M161" s="414"/>
      <c r="N161" s="279"/>
    </row>
    <row r="162" spans="7:14" x14ac:dyDescent="0.45">
      <c r="G162" s="321"/>
      <c r="H162" s="321"/>
      <c r="I162" s="503"/>
      <c r="J162" s="510"/>
      <c r="K162" s="510"/>
      <c r="M162" s="414"/>
      <c r="N162" s="279"/>
    </row>
    <row r="163" spans="7:14" x14ac:dyDescent="0.45">
      <c r="G163" s="321"/>
      <c r="H163" s="321"/>
      <c r="I163" s="503"/>
      <c r="J163" s="510"/>
      <c r="K163" s="510"/>
      <c r="M163" s="414"/>
      <c r="N163" s="279"/>
    </row>
    <row r="164" spans="7:14" x14ac:dyDescent="0.45">
      <c r="G164" s="321"/>
      <c r="H164" s="321"/>
      <c r="I164" s="503"/>
      <c r="J164" s="510"/>
      <c r="K164" s="510"/>
      <c r="M164" s="414"/>
      <c r="N164" s="279"/>
    </row>
    <row r="165" spans="7:14" x14ac:dyDescent="0.45">
      <c r="G165" s="321"/>
      <c r="H165" s="321"/>
      <c r="I165" s="503"/>
      <c r="J165" s="510"/>
      <c r="K165" s="510"/>
      <c r="M165" s="414"/>
      <c r="N165" s="279"/>
    </row>
    <row r="166" spans="7:14" x14ac:dyDescent="0.45">
      <c r="G166" s="321"/>
      <c r="H166" s="321"/>
      <c r="I166" s="503"/>
      <c r="J166" s="510"/>
      <c r="K166" s="510"/>
      <c r="M166" s="414"/>
      <c r="N166" s="279"/>
    </row>
    <row r="167" spans="7:14" x14ac:dyDescent="0.45">
      <c r="G167" s="321"/>
      <c r="H167" s="321"/>
      <c r="I167" s="503"/>
      <c r="J167" s="510"/>
      <c r="K167" s="510"/>
      <c r="M167" s="414"/>
      <c r="N167" s="279"/>
    </row>
    <row r="168" spans="7:14" x14ac:dyDescent="0.45">
      <c r="G168" s="321"/>
      <c r="H168" s="321"/>
      <c r="I168" s="503"/>
      <c r="J168" s="510"/>
      <c r="K168" s="510"/>
      <c r="M168" s="414"/>
      <c r="N168" s="279"/>
    </row>
    <row r="169" spans="7:14" x14ac:dyDescent="0.45">
      <c r="G169" s="321"/>
      <c r="H169" s="321"/>
      <c r="I169" s="503"/>
      <c r="J169" s="510"/>
      <c r="K169" s="510"/>
      <c r="M169" s="414"/>
      <c r="N169" s="279"/>
    </row>
    <row r="170" spans="7:14" x14ac:dyDescent="0.45">
      <c r="G170" s="321"/>
      <c r="H170" s="321"/>
      <c r="I170" s="503"/>
      <c r="J170" s="510"/>
      <c r="K170" s="510"/>
      <c r="M170" s="414"/>
      <c r="N170" s="279"/>
    </row>
    <row r="171" spans="7:14" x14ac:dyDescent="0.45">
      <c r="G171" s="321"/>
      <c r="H171" s="321"/>
      <c r="I171" s="503"/>
      <c r="J171" s="510"/>
      <c r="K171" s="510"/>
      <c r="M171" s="414"/>
      <c r="N171" s="279"/>
    </row>
    <row r="172" spans="7:14" x14ac:dyDescent="0.45">
      <c r="G172" s="321"/>
      <c r="H172" s="321"/>
      <c r="I172" s="503"/>
      <c r="J172" s="510"/>
      <c r="K172" s="510"/>
      <c r="M172" s="414"/>
      <c r="N172" s="279"/>
    </row>
    <row r="173" spans="7:14" x14ac:dyDescent="0.45">
      <c r="G173" s="321"/>
      <c r="H173" s="321"/>
      <c r="I173" s="503"/>
      <c r="J173" s="510"/>
      <c r="K173" s="510"/>
      <c r="M173" s="414"/>
      <c r="N173" s="279"/>
    </row>
    <row r="174" spans="7:14" x14ac:dyDescent="0.45">
      <c r="G174" s="321"/>
      <c r="H174" s="321"/>
      <c r="I174" s="503"/>
      <c r="J174" s="510"/>
      <c r="K174" s="510"/>
      <c r="M174" s="414"/>
      <c r="N174" s="279"/>
    </row>
    <row r="175" spans="7:14" x14ac:dyDescent="0.45">
      <c r="G175" s="321"/>
      <c r="H175" s="321"/>
      <c r="I175" s="503"/>
      <c r="J175" s="510"/>
      <c r="K175" s="510"/>
      <c r="M175" s="414"/>
      <c r="N175" s="279"/>
    </row>
    <row r="176" spans="7:14" x14ac:dyDescent="0.45">
      <c r="G176" s="321"/>
      <c r="H176" s="321"/>
      <c r="I176" s="503"/>
      <c r="J176" s="510"/>
      <c r="K176" s="510"/>
      <c r="M176" s="414"/>
      <c r="N176" s="279"/>
    </row>
    <row r="177" spans="7:14" x14ac:dyDescent="0.45">
      <c r="G177" s="321"/>
      <c r="H177" s="321"/>
      <c r="I177" s="503"/>
      <c r="J177" s="510"/>
      <c r="K177" s="510"/>
      <c r="M177" s="414"/>
      <c r="N177" s="279"/>
    </row>
    <row r="178" spans="7:14" x14ac:dyDescent="0.45">
      <c r="G178" s="321"/>
      <c r="H178" s="321"/>
      <c r="I178" s="503"/>
      <c r="J178" s="510"/>
      <c r="K178" s="510"/>
      <c r="M178" s="414"/>
      <c r="N178" s="279"/>
    </row>
    <row r="179" spans="7:14" x14ac:dyDescent="0.45">
      <c r="G179" s="321"/>
      <c r="H179" s="321"/>
      <c r="I179" s="503"/>
      <c r="J179" s="510"/>
      <c r="K179" s="510"/>
      <c r="M179" s="414"/>
      <c r="N179" s="279"/>
    </row>
    <row r="180" spans="7:14" x14ac:dyDescent="0.45">
      <c r="G180" s="321"/>
      <c r="H180" s="321"/>
      <c r="I180" s="503"/>
      <c r="J180" s="510"/>
      <c r="K180" s="510"/>
      <c r="M180" s="414"/>
      <c r="N180" s="279"/>
    </row>
    <row r="181" spans="7:14" x14ac:dyDescent="0.45">
      <c r="G181" s="321"/>
      <c r="H181" s="321"/>
      <c r="I181" s="503"/>
      <c r="J181" s="510"/>
      <c r="K181" s="510"/>
      <c r="M181" s="414"/>
      <c r="N181" s="279"/>
    </row>
    <row r="182" spans="7:14" x14ac:dyDescent="0.45">
      <c r="G182" s="321"/>
      <c r="H182" s="321"/>
      <c r="I182" s="503"/>
      <c r="J182" s="510"/>
      <c r="K182" s="510"/>
      <c r="M182" s="414"/>
      <c r="N182" s="279"/>
    </row>
    <row r="183" spans="7:14" x14ac:dyDescent="0.45">
      <c r="G183" s="321"/>
      <c r="H183" s="321"/>
      <c r="I183" s="503"/>
      <c r="J183" s="510"/>
      <c r="K183" s="510"/>
      <c r="M183" s="414"/>
      <c r="N183" s="279"/>
    </row>
    <row r="184" spans="7:14" x14ac:dyDescent="0.45">
      <c r="G184" s="321"/>
      <c r="H184" s="321"/>
      <c r="I184" s="503"/>
      <c r="J184" s="510"/>
      <c r="K184" s="510"/>
      <c r="M184" s="414"/>
      <c r="N184" s="279"/>
    </row>
    <row r="185" spans="7:14" x14ac:dyDescent="0.45">
      <c r="G185" s="321"/>
      <c r="H185" s="321"/>
      <c r="I185" s="503"/>
      <c r="J185" s="510"/>
      <c r="K185" s="510"/>
      <c r="M185" s="414"/>
      <c r="N185" s="279"/>
    </row>
    <row r="186" spans="7:14" x14ac:dyDescent="0.45">
      <c r="G186" s="321"/>
      <c r="H186" s="321"/>
      <c r="I186" s="503"/>
      <c r="J186" s="510"/>
      <c r="K186" s="510"/>
      <c r="M186" s="414"/>
      <c r="N186" s="279"/>
    </row>
    <row r="187" spans="7:14" x14ac:dyDescent="0.45">
      <c r="G187" s="321"/>
      <c r="H187" s="321"/>
      <c r="I187" s="503"/>
      <c r="J187" s="510"/>
      <c r="K187" s="510"/>
      <c r="M187" s="414"/>
      <c r="N187" s="279"/>
    </row>
    <row r="188" spans="7:14" x14ac:dyDescent="0.45">
      <c r="G188" s="321"/>
      <c r="H188" s="321"/>
      <c r="I188" s="503"/>
      <c r="J188" s="510"/>
      <c r="K188" s="510"/>
      <c r="M188" s="414"/>
      <c r="N188" s="279"/>
    </row>
    <row r="189" spans="7:14" x14ac:dyDescent="0.45">
      <c r="G189" s="321"/>
      <c r="H189" s="321"/>
      <c r="I189" s="503"/>
      <c r="J189" s="510"/>
      <c r="K189" s="510"/>
      <c r="M189" s="414"/>
      <c r="N189" s="279"/>
    </row>
    <row r="190" spans="7:14" x14ac:dyDescent="0.45">
      <c r="G190" s="321"/>
      <c r="H190" s="321"/>
      <c r="I190" s="503"/>
      <c r="J190" s="510"/>
      <c r="K190" s="510"/>
      <c r="M190" s="414"/>
      <c r="N190" s="279"/>
    </row>
    <row r="191" spans="7:14" x14ac:dyDescent="0.45">
      <c r="G191" s="321"/>
      <c r="H191" s="321"/>
      <c r="I191" s="503"/>
      <c r="J191" s="510"/>
      <c r="K191" s="510"/>
      <c r="M191" s="414"/>
      <c r="N191" s="279"/>
    </row>
    <row r="192" spans="7:14" x14ac:dyDescent="0.45">
      <c r="G192" s="321"/>
      <c r="H192" s="321"/>
      <c r="I192" s="503"/>
      <c r="J192" s="510"/>
      <c r="K192" s="510"/>
      <c r="M192" s="414"/>
      <c r="N192" s="279"/>
    </row>
    <row r="193" spans="7:14" x14ac:dyDescent="0.45">
      <c r="G193" s="321"/>
      <c r="H193" s="321"/>
      <c r="I193" s="503"/>
      <c r="J193" s="510"/>
      <c r="K193" s="510"/>
      <c r="M193" s="414"/>
      <c r="N193" s="279"/>
    </row>
    <row r="194" spans="7:14" x14ac:dyDescent="0.45">
      <c r="G194" s="321"/>
      <c r="H194" s="321"/>
      <c r="I194" s="503"/>
      <c r="J194" s="510"/>
      <c r="K194" s="510"/>
      <c r="M194" s="414"/>
      <c r="N194" s="279"/>
    </row>
    <row r="195" spans="7:14" x14ac:dyDescent="0.45">
      <c r="G195" s="321"/>
      <c r="H195" s="321"/>
      <c r="I195" s="503"/>
      <c r="J195" s="510"/>
      <c r="K195" s="510"/>
      <c r="M195" s="414"/>
      <c r="N195" s="279"/>
    </row>
    <row r="196" spans="7:14" x14ac:dyDescent="0.45">
      <c r="G196" s="321"/>
      <c r="H196" s="321"/>
      <c r="I196" s="503"/>
      <c r="J196" s="510"/>
      <c r="K196" s="510"/>
      <c r="M196" s="414"/>
      <c r="N196" s="279"/>
    </row>
    <row r="197" spans="7:14" x14ac:dyDescent="0.45">
      <c r="G197" s="321"/>
      <c r="H197" s="321"/>
      <c r="I197" s="503"/>
      <c r="J197" s="510"/>
      <c r="K197" s="510"/>
      <c r="M197" s="414"/>
      <c r="N197" s="279"/>
    </row>
    <row r="198" spans="7:14" x14ac:dyDescent="0.45">
      <c r="G198" s="321"/>
      <c r="H198" s="321"/>
      <c r="I198" s="503"/>
      <c r="J198" s="510"/>
      <c r="K198" s="510"/>
      <c r="M198" s="414"/>
      <c r="N198" s="279"/>
    </row>
    <row r="199" spans="7:14" x14ac:dyDescent="0.45">
      <c r="G199" s="321"/>
      <c r="H199" s="321"/>
      <c r="I199" s="503"/>
      <c r="J199" s="510"/>
      <c r="K199" s="510"/>
      <c r="M199" s="414"/>
      <c r="N199" s="279"/>
    </row>
    <row r="200" spans="7:14" x14ac:dyDescent="0.45">
      <c r="G200" s="321"/>
      <c r="H200" s="321"/>
      <c r="I200" s="503"/>
      <c r="J200" s="510"/>
      <c r="K200" s="510"/>
      <c r="M200" s="414"/>
      <c r="N200" s="279"/>
    </row>
    <row r="201" spans="7:14" x14ac:dyDescent="0.45">
      <c r="G201" s="321"/>
      <c r="H201" s="321"/>
      <c r="I201" s="503"/>
      <c r="J201" s="510"/>
      <c r="K201" s="510"/>
      <c r="M201" s="414"/>
      <c r="N201" s="279"/>
    </row>
    <row r="202" spans="7:14" x14ac:dyDescent="0.45">
      <c r="G202" s="321"/>
      <c r="H202" s="321"/>
      <c r="I202" s="503"/>
      <c r="J202" s="510"/>
      <c r="K202" s="510"/>
      <c r="M202" s="414"/>
      <c r="N202" s="279"/>
    </row>
    <row r="203" spans="7:14" x14ac:dyDescent="0.45">
      <c r="G203" s="321"/>
      <c r="H203" s="321"/>
      <c r="I203" s="503"/>
      <c r="J203" s="510"/>
      <c r="K203" s="510"/>
      <c r="M203" s="414"/>
      <c r="N203" s="279"/>
    </row>
    <row r="204" spans="7:14" x14ac:dyDescent="0.45">
      <c r="G204" s="321"/>
      <c r="H204" s="321"/>
      <c r="I204" s="503"/>
      <c r="J204" s="510"/>
      <c r="K204" s="510"/>
      <c r="M204" s="414"/>
      <c r="N204" s="279"/>
    </row>
    <row r="205" spans="7:14" x14ac:dyDescent="0.45">
      <c r="G205" s="321"/>
      <c r="H205" s="321"/>
      <c r="I205" s="503"/>
      <c r="J205" s="510"/>
      <c r="K205" s="510"/>
      <c r="M205" s="414"/>
      <c r="N205" s="279"/>
    </row>
    <row r="206" spans="7:14" x14ac:dyDescent="0.45">
      <c r="G206" s="321"/>
      <c r="H206" s="321"/>
      <c r="I206" s="503"/>
      <c r="J206" s="510"/>
      <c r="K206" s="510"/>
      <c r="M206" s="414"/>
      <c r="N206" s="279"/>
    </row>
    <row r="207" spans="7:14" x14ac:dyDescent="0.45">
      <c r="G207" s="321"/>
      <c r="H207" s="321"/>
      <c r="I207" s="503"/>
      <c r="J207" s="510"/>
      <c r="K207" s="510"/>
      <c r="M207" s="414"/>
      <c r="N207" s="279"/>
    </row>
    <row r="208" spans="7:14" x14ac:dyDescent="0.45">
      <c r="G208" s="321"/>
      <c r="H208" s="321"/>
      <c r="I208" s="503"/>
      <c r="J208" s="510"/>
      <c r="K208" s="510"/>
      <c r="M208" s="414"/>
      <c r="N208" s="279"/>
    </row>
    <row r="209" spans="7:14" x14ac:dyDescent="0.45">
      <c r="G209" s="321"/>
      <c r="H209" s="321"/>
      <c r="I209" s="503"/>
      <c r="J209" s="510"/>
      <c r="K209" s="510"/>
      <c r="M209" s="414"/>
      <c r="N209" s="279"/>
    </row>
    <row r="210" spans="7:14" x14ac:dyDescent="0.45">
      <c r="G210" s="321"/>
      <c r="H210" s="321"/>
      <c r="I210" s="503"/>
      <c r="J210" s="510"/>
      <c r="K210" s="510"/>
      <c r="M210" s="414"/>
      <c r="N210" s="279"/>
    </row>
    <row r="211" spans="7:14" x14ac:dyDescent="0.45">
      <c r="G211" s="321"/>
      <c r="H211" s="321"/>
      <c r="I211" s="503"/>
      <c r="J211" s="510"/>
      <c r="K211" s="510"/>
      <c r="M211" s="414"/>
      <c r="N211" s="279"/>
    </row>
    <row r="212" spans="7:14" x14ac:dyDescent="0.45">
      <c r="G212" s="321"/>
      <c r="H212" s="321"/>
      <c r="I212" s="503"/>
      <c r="J212" s="510"/>
      <c r="K212" s="510"/>
      <c r="M212" s="414"/>
      <c r="N212" s="279"/>
    </row>
    <row r="213" spans="7:14" x14ac:dyDescent="0.45">
      <c r="G213" s="321"/>
      <c r="H213" s="321"/>
      <c r="I213" s="503"/>
      <c r="J213" s="510"/>
      <c r="K213" s="510"/>
      <c r="M213" s="414"/>
      <c r="N213" s="279"/>
    </row>
    <row r="214" spans="7:14" x14ac:dyDescent="0.45">
      <c r="G214" s="321"/>
      <c r="H214" s="321"/>
      <c r="I214" s="503"/>
      <c r="J214" s="510"/>
      <c r="K214" s="510"/>
      <c r="M214" s="414"/>
      <c r="N214" s="279"/>
    </row>
    <row r="215" spans="7:14" x14ac:dyDescent="0.45">
      <c r="G215" s="321"/>
      <c r="H215" s="321"/>
      <c r="I215" s="503"/>
      <c r="J215" s="510"/>
      <c r="K215" s="510"/>
      <c r="M215" s="414"/>
      <c r="N215" s="279"/>
    </row>
    <row r="216" spans="7:14" x14ac:dyDescent="0.45">
      <c r="G216" s="321"/>
      <c r="H216" s="321"/>
      <c r="I216" s="503"/>
      <c r="J216" s="510"/>
      <c r="K216" s="510"/>
      <c r="M216" s="414"/>
      <c r="N216" s="279"/>
    </row>
    <row r="217" spans="7:14" x14ac:dyDescent="0.45">
      <c r="G217" s="321"/>
      <c r="H217" s="321"/>
      <c r="I217" s="503"/>
      <c r="J217" s="510"/>
      <c r="K217" s="510"/>
      <c r="M217" s="414"/>
      <c r="N217" s="279"/>
    </row>
    <row r="218" spans="7:14" x14ac:dyDescent="0.45">
      <c r="G218" s="321"/>
      <c r="H218" s="321"/>
      <c r="I218" s="503"/>
      <c r="J218" s="510"/>
      <c r="K218" s="510"/>
      <c r="M218" s="414"/>
      <c r="N218" s="279"/>
    </row>
    <row r="219" spans="7:14" x14ac:dyDescent="0.45">
      <c r="G219" s="321"/>
      <c r="H219" s="321"/>
      <c r="I219" s="503"/>
      <c r="J219" s="510"/>
      <c r="K219" s="510"/>
      <c r="M219" s="414"/>
      <c r="N219" s="279"/>
    </row>
    <row r="220" spans="7:14" x14ac:dyDescent="0.45">
      <c r="G220" s="321"/>
      <c r="H220" s="321"/>
      <c r="I220" s="503"/>
      <c r="J220" s="510"/>
      <c r="K220" s="510"/>
      <c r="M220" s="414"/>
      <c r="N220" s="279"/>
    </row>
    <row r="221" spans="7:14" x14ac:dyDescent="0.45">
      <c r="G221" s="321"/>
      <c r="H221" s="321"/>
      <c r="I221" s="503"/>
      <c r="J221" s="510"/>
      <c r="K221" s="510"/>
      <c r="M221" s="414"/>
      <c r="N221" s="279"/>
    </row>
    <row r="222" spans="7:14" x14ac:dyDescent="0.45">
      <c r="G222" s="321"/>
      <c r="H222" s="321"/>
      <c r="I222" s="503"/>
      <c r="J222" s="510"/>
      <c r="K222" s="510"/>
      <c r="M222" s="414"/>
      <c r="N222" s="279"/>
    </row>
    <row r="223" spans="7:14" x14ac:dyDescent="0.45">
      <c r="G223" s="321"/>
      <c r="H223" s="321"/>
      <c r="I223" s="503"/>
      <c r="J223" s="510"/>
      <c r="K223" s="510"/>
      <c r="M223" s="414"/>
      <c r="N223" s="279"/>
    </row>
    <row r="224" spans="7:14" x14ac:dyDescent="0.45">
      <c r="G224" s="321"/>
      <c r="H224" s="321"/>
      <c r="I224" s="503"/>
      <c r="J224" s="510"/>
      <c r="K224" s="510"/>
      <c r="M224" s="414"/>
      <c r="N224" s="279"/>
    </row>
    <row r="225" spans="7:14" x14ac:dyDescent="0.45">
      <c r="G225" s="321"/>
      <c r="H225" s="321"/>
      <c r="I225" s="503"/>
      <c r="J225" s="510"/>
      <c r="K225" s="510"/>
      <c r="M225" s="414"/>
      <c r="N225" s="279"/>
    </row>
    <row r="226" spans="7:14" x14ac:dyDescent="0.45">
      <c r="G226" s="321"/>
      <c r="H226" s="321"/>
      <c r="I226" s="503"/>
      <c r="J226" s="510"/>
      <c r="K226" s="510"/>
      <c r="M226" s="414"/>
      <c r="N226" s="279"/>
    </row>
    <row r="227" spans="7:14" x14ac:dyDescent="0.45">
      <c r="G227" s="321"/>
      <c r="H227" s="321"/>
      <c r="I227" s="503"/>
      <c r="J227" s="510"/>
      <c r="K227" s="510"/>
      <c r="M227" s="414"/>
      <c r="N227" s="279"/>
    </row>
    <row r="228" spans="7:14" x14ac:dyDescent="0.45">
      <c r="G228" s="321"/>
      <c r="H228" s="321"/>
      <c r="I228" s="503"/>
      <c r="J228" s="510"/>
      <c r="K228" s="510"/>
      <c r="M228" s="414"/>
      <c r="N228" s="279"/>
    </row>
    <row r="229" spans="7:14" x14ac:dyDescent="0.45">
      <c r="G229" s="321"/>
      <c r="H229" s="321"/>
      <c r="I229" s="503"/>
      <c r="J229" s="510"/>
      <c r="K229" s="510"/>
      <c r="M229" s="414"/>
      <c r="N229" s="279"/>
    </row>
    <row r="230" spans="7:14" x14ac:dyDescent="0.45">
      <c r="G230" s="321"/>
      <c r="H230" s="321"/>
      <c r="I230" s="503"/>
      <c r="J230" s="510"/>
      <c r="K230" s="510"/>
      <c r="M230" s="414"/>
      <c r="N230" s="279"/>
    </row>
    <row r="231" spans="7:14" x14ac:dyDescent="0.45">
      <c r="G231" s="321"/>
      <c r="H231" s="321"/>
      <c r="I231" s="503"/>
      <c r="J231" s="510"/>
      <c r="K231" s="510"/>
      <c r="M231" s="414"/>
      <c r="N231" s="279"/>
    </row>
    <row r="232" spans="7:14" x14ac:dyDescent="0.45">
      <c r="G232" s="321"/>
      <c r="H232" s="321"/>
      <c r="I232" s="503"/>
      <c r="J232" s="510"/>
      <c r="K232" s="510"/>
      <c r="M232" s="414"/>
      <c r="N232" s="279"/>
    </row>
    <row r="233" spans="7:14" x14ac:dyDescent="0.45">
      <c r="G233" s="321"/>
      <c r="H233" s="321"/>
      <c r="I233" s="503"/>
      <c r="J233" s="510"/>
      <c r="K233" s="510"/>
      <c r="M233" s="414"/>
      <c r="N233" s="279"/>
    </row>
    <row r="234" spans="7:14" x14ac:dyDescent="0.45">
      <c r="G234" s="321"/>
      <c r="H234" s="321"/>
      <c r="I234" s="503"/>
      <c r="J234" s="510"/>
      <c r="K234" s="510"/>
      <c r="M234" s="414"/>
      <c r="N234" s="279"/>
    </row>
    <row r="235" spans="7:14" x14ac:dyDescent="0.45">
      <c r="G235" s="321"/>
      <c r="H235" s="321"/>
      <c r="I235" s="503"/>
      <c r="J235" s="510"/>
      <c r="K235" s="510"/>
      <c r="M235" s="414"/>
      <c r="N235" s="279"/>
    </row>
    <row r="236" spans="7:14" x14ac:dyDescent="0.45">
      <c r="G236" s="321"/>
      <c r="H236" s="321"/>
      <c r="I236" s="503"/>
      <c r="J236" s="510"/>
      <c r="K236" s="510"/>
      <c r="M236" s="414"/>
      <c r="N236" s="279"/>
    </row>
    <row r="237" spans="7:14" x14ac:dyDescent="0.45">
      <c r="G237" s="321"/>
      <c r="H237" s="321"/>
      <c r="I237" s="503"/>
      <c r="J237" s="510"/>
      <c r="K237" s="510"/>
      <c r="M237" s="414"/>
      <c r="N237" s="279"/>
    </row>
    <row r="238" spans="7:14" x14ac:dyDescent="0.45">
      <c r="G238" s="321"/>
      <c r="H238" s="321"/>
      <c r="I238" s="503"/>
      <c r="J238" s="510"/>
      <c r="K238" s="510"/>
      <c r="M238" s="414"/>
      <c r="N238" s="279"/>
    </row>
    <row r="239" spans="7:14" x14ac:dyDescent="0.45">
      <c r="G239" s="321"/>
      <c r="H239" s="321"/>
      <c r="I239" s="503"/>
      <c r="J239" s="510"/>
      <c r="K239" s="510"/>
      <c r="M239" s="414"/>
      <c r="N239" s="279"/>
    </row>
    <row r="240" spans="7:14" x14ac:dyDescent="0.45">
      <c r="G240" s="321"/>
      <c r="H240" s="321"/>
      <c r="I240" s="503"/>
      <c r="J240" s="510"/>
      <c r="K240" s="510"/>
      <c r="M240" s="414"/>
      <c r="N240" s="279"/>
    </row>
    <row r="241" spans="7:14" x14ac:dyDescent="0.45">
      <c r="G241" s="321"/>
      <c r="H241" s="321"/>
      <c r="I241" s="503"/>
      <c r="J241" s="510"/>
      <c r="K241" s="510"/>
      <c r="M241" s="414"/>
      <c r="N241" s="279"/>
    </row>
    <row r="242" spans="7:14" x14ac:dyDescent="0.45">
      <c r="G242" s="321"/>
      <c r="H242" s="321"/>
      <c r="I242" s="503"/>
      <c r="J242" s="510"/>
      <c r="K242" s="510"/>
      <c r="M242" s="414"/>
      <c r="N242" s="279"/>
    </row>
    <row r="243" spans="7:14" x14ac:dyDescent="0.45">
      <c r="G243" s="321"/>
      <c r="H243" s="321"/>
      <c r="I243" s="503"/>
      <c r="J243" s="510"/>
      <c r="K243" s="510"/>
      <c r="M243" s="414"/>
      <c r="N243" s="279"/>
    </row>
    <row r="244" spans="7:14" x14ac:dyDescent="0.45">
      <c r="G244" s="321"/>
      <c r="H244" s="321"/>
      <c r="I244" s="503"/>
      <c r="J244" s="510"/>
      <c r="K244" s="510"/>
      <c r="M244" s="414"/>
      <c r="N244" s="279"/>
    </row>
    <row r="245" spans="7:14" x14ac:dyDescent="0.45">
      <c r="G245" s="321"/>
      <c r="H245" s="321"/>
      <c r="I245" s="503"/>
      <c r="J245" s="510"/>
      <c r="K245" s="510"/>
      <c r="M245" s="414"/>
      <c r="N245" s="279"/>
    </row>
    <row r="246" spans="7:14" x14ac:dyDescent="0.45">
      <c r="G246" s="321"/>
      <c r="H246" s="321"/>
      <c r="I246" s="503"/>
      <c r="J246" s="510"/>
      <c r="K246" s="510"/>
      <c r="M246" s="414"/>
      <c r="N246" s="279"/>
    </row>
    <row r="247" spans="7:14" x14ac:dyDescent="0.45">
      <c r="G247" s="321"/>
      <c r="H247" s="321"/>
      <c r="I247" s="503"/>
      <c r="J247" s="510"/>
      <c r="K247" s="510"/>
      <c r="M247" s="414"/>
      <c r="N247" s="279"/>
    </row>
    <row r="248" spans="7:14" x14ac:dyDescent="0.45">
      <c r="G248" s="321"/>
      <c r="H248" s="321"/>
      <c r="I248" s="503"/>
      <c r="J248" s="510"/>
      <c r="K248" s="510"/>
      <c r="M248" s="414"/>
      <c r="N248" s="279"/>
    </row>
    <row r="249" spans="7:14" x14ac:dyDescent="0.45">
      <c r="G249" s="321"/>
      <c r="H249" s="321"/>
      <c r="I249" s="503"/>
      <c r="J249" s="510"/>
      <c r="K249" s="510"/>
      <c r="M249" s="414"/>
      <c r="N249" s="279"/>
    </row>
    <row r="250" spans="7:14" x14ac:dyDescent="0.45">
      <c r="G250" s="321"/>
      <c r="H250" s="321"/>
      <c r="I250" s="503"/>
      <c r="J250" s="510"/>
      <c r="K250" s="510"/>
      <c r="M250" s="414"/>
      <c r="N250" s="279"/>
    </row>
    <row r="251" spans="7:14" x14ac:dyDescent="0.45">
      <c r="G251" s="321"/>
      <c r="H251" s="321"/>
      <c r="I251" s="503"/>
      <c r="J251" s="510"/>
      <c r="K251" s="510"/>
      <c r="M251" s="414"/>
      <c r="N251" s="279"/>
    </row>
    <row r="252" spans="7:14" x14ac:dyDescent="0.45">
      <c r="G252" s="321"/>
      <c r="H252" s="321"/>
      <c r="I252" s="503"/>
      <c r="J252" s="510"/>
      <c r="K252" s="510"/>
      <c r="M252" s="414"/>
      <c r="N252" s="279"/>
    </row>
    <row r="253" spans="7:14" x14ac:dyDescent="0.45">
      <c r="G253" s="321"/>
      <c r="H253" s="321"/>
      <c r="I253" s="503"/>
      <c r="J253" s="510"/>
      <c r="K253" s="510"/>
      <c r="M253" s="414"/>
      <c r="N253" s="279"/>
    </row>
    <row r="254" spans="7:14" x14ac:dyDescent="0.45">
      <c r="G254" s="321"/>
      <c r="H254" s="321"/>
      <c r="I254" s="503"/>
      <c r="J254" s="510"/>
      <c r="K254" s="510"/>
      <c r="M254" s="414"/>
      <c r="N254" s="279"/>
    </row>
    <row r="255" spans="7:14" x14ac:dyDescent="0.45">
      <c r="G255" s="321"/>
      <c r="H255" s="321"/>
      <c r="I255" s="503"/>
      <c r="J255" s="510"/>
      <c r="K255" s="510"/>
      <c r="M255" s="414"/>
      <c r="N255" s="279"/>
    </row>
    <row r="256" spans="7:14" x14ac:dyDescent="0.45">
      <c r="G256" s="321"/>
      <c r="H256" s="321"/>
      <c r="I256" s="503"/>
      <c r="J256" s="510"/>
      <c r="K256" s="510"/>
      <c r="M256" s="414"/>
      <c r="N256" s="279"/>
    </row>
    <row r="257" spans="7:14" x14ac:dyDescent="0.45">
      <c r="G257" s="321"/>
      <c r="H257" s="321"/>
      <c r="I257" s="503"/>
      <c r="J257" s="510"/>
      <c r="K257" s="510"/>
      <c r="M257" s="414"/>
      <c r="N257" s="279"/>
    </row>
    <row r="258" spans="7:14" x14ac:dyDescent="0.45">
      <c r="G258" s="321"/>
      <c r="H258" s="321"/>
      <c r="I258" s="503"/>
      <c r="J258" s="510"/>
      <c r="K258" s="510"/>
      <c r="M258" s="414"/>
      <c r="N258" s="279"/>
    </row>
    <row r="259" spans="7:14" x14ac:dyDescent="0.45">
      <c r="G259" s="321"/>
      <c r="H259" s="321"/>
      <c r="I259" s="503"/>
      <c r="J259" s="510"/>
      <c r="K259" s="510"/>
      <c r="M259" s="414"/>
      <c r="N259" s="279"/>
    </row>
    <row r="260" spans="7:14" x14ac:dyDescent="0.45">
      <c r="G260" s="321"/>
      <c r="H260" s="321"/>
      <c r="I260" s="503"/>
      <c r="J260" s="510"/>
      <c r="K260" s="510"/>
      <c r="M260" s="414"/>
      <c r="N260" s="279"/>
    </row>
    <row r="261" spans="7:14" x14ac:dyDescent="0.45">
      <c r="G261" s="321"/>
      <c r="H261" s="321"/>
      <c r="I261" s="503"/>
      <c r="J261" s="510"/>
      <c r="K261" s="510"/>
      <c r="M261" s="414"/>
      <c r="N261" s="279"/>
    </row>
    <row r="262" spans="7:14" x14ac:dyDescent="0.45">
      <c r="G262" s="321"/>
      <c r="H262" s="321"/>
      <c r="I262" s="503"/>
      <c r="J262" s="510"/>
      <c r="K262" s="510"/>
      <c r="M262" s="414"/>
      <c r="N262" s="279"/>
    </row>
    <row r="263" spans="7:14" x14ac:dyDescent="0.45">
      <c r="G263" s="321"/>
      <c r="H263" s="321"/>
      <c r="I263" s="503"/>
      <c r="J263" s="510"/>
      <c r="K263" s="510"/>
      <c r="M263" s="414"/>
      <c r="N263" s="279"/>
    </row>
    <row r="264" spans="7:14" x14ac:dyDescent="0.45">
      <c r="G264" s="321"/>
      <c r="H264" s="321"/>
      <c r="I264" s="503"/>
      <c r="J264" s="510"/>
      <c r="K264" s="510"/>
      <c r="M264" s="414"/>
      <c r="N264" s="279"/>
    </row>
    <row r="265" spans="7:14" x14ac:dyDescent="0.45">
      <c r="G265" s="321"/>
      <c r="H265" s="321"/>
      <c r="I265" s="503"/>
      <c r="J265" s="510"/>
      <c r="K265" s="510"/>
      <c r="M265" s="414"/>
      <c r="N265" s="279"/>
    </row>
    <row r="266" spans="7:14" x14ac:dyDescent="0.45">
      <c r="G266" s="321"/>
      <c r="H266" s="321"/>
      <c r="I266" s="503"/>
      <c r="J266" s="510"/>
      <c r="K266" s="510"/>
      <c r="M266" s="414"/>
      <c r="N266" s="279"/>
    </row>
    <row r="267" spans="7:14" x14ac:dyDescent="0.45">
      <c r="G267" s="321"/>
      <c r="H267" s="321"/>
      <c r="I267" s="503"/>
      <c r="J267" s="510"/>
      <c r="K267" s="510"/>
      <c r="M267" s="414"/>
      <c r="N267" s="279"/>
    </row>
    <row r="268" spans="7:14" x14ac:dyDescent="0.45">
      <c r="G268" s="321"/>
      <c r="H268" s="321"/>
      <c r="I268" s="503"/>
      <c r="J268" s="510"/>
      <c r="K268" s="510"/>
      <c r="M268" s="414"/>
      <c r="N268" s="279"/>
    </row>
    <row r="269" spans="7:14" x14ac:dyDescent="0.45">
      <c r="I269" s="503"/>
      <c r="J269" s="510"/>
      <c r="K269" s="510"/>
      <c r="M269" s="414"/>
      <c r="N269" s="279"/>
    </row>
    <row r="270" spans="7:14" x14ac:dyDescent="0.45">
      <c r="I270" s="503"/>
      <c r="J270" s="510"/>
      <c r="K270" s="510"/>
      <c r="M270" s="414"/>
      <c r="N270" s="279"/>
    </row>
    <row r="271" spans="7:14" x14ac:dyDescent="0.45">
      <c r="I271" s="503"/>
      <c r="J271" s="510"/>
      <c r="K271" s="510"/>
      <c r="M271" s="414"/>
      <c r="N271" s="279"/>
    </row>
    <row r="272" spans="7:14" x14ac:dyDescent="0.45">
      <c r="I272" s="503"/>
      <c r="J272" s="510"/>
      <c r="K272" s="510"/>
      <c r="M272" s="414"/>
      <c r="N272" s="279"/>
    </row>
    <row r="273" spans="9:14" x14ac:dyDescent="0.45">
      <c r="I273" s="503"/>
      <c r="J273" s="510"/>
      <c r="K273" s="510"/>
      <c r="M273" s="414"/>
      <c r="N273" s="279"/>
    </row>
    <row r="274" spans="9:14" x14ac:dyDescent="0.45">
      <c r="I274" s="503"/>
      <c r="J274" s="510"/>
      <c r="K274" s="510"/>
      <c r="M274" s="414"/>
      <c r="N274" s="279"/>
    </row>
    <row r="275" spans="9:14" x14ac:dyDescent="0.45">
      <c r="I275" s="503"/>
      <c r="J275" s="510"/>
      <c r="K275" s="510"/>
      <c r="M275" s="414"/>
      <c r="N275" s="279"/>
    </row>
    <row r="276" spans="9:14" x14ac:dyDescent="0.45">
      <c r="I276" s="503"/>
      <c r="J276" s="510"/>
      <c r="K276" s="510"/>
      <c r="M276" s="414"/>
      <c r="N276" s="279"/>
    </row>
    <row r="277" spans="9:14" x14ac:dyDescent="0.45">
      <c r="I277" s="503"/>
      <c r="J277" s="510"/>
      <c r="K277" s="510"/>
      <c r="M277" s="414"/>
      <c r="N277" s="279"/>
    </row>
    <row r="278" spans="9:14" x14ac:dyDescent="0.45">
      <c r="I278" s="503"/>
      <c r="J278" s="510"/>
      <c r="K278" s="510"/>
      <c r="M278" s="414"/>
      <c r="N278" s="279"/>
    </row>
    <row r="279" spans="9:14" x14ac:dyDescent="0.45">
      <c r="I279" s="503"/>
      <c r="J279" s="510"/>
      <c r="K279" s="510"/>
      <c r="M279" s="414"/>
      <c r="N279" s="279"/>
    </row>
    <row r="280" spans="9:14" x14ac:dyDescent="0.45">
      <c r="I280" s="503"/>
      <c r="J280" s="510"/>
      <c r="K280" s="510"/>
      <c r="M280" s="414"/>
      <c r="N280" s="279"/>
    </row>
    <row r="281" spans="9:14" x14ac:dyDescent="0.45">
      <c r="I281" s="503"/>
      <c r="J281" s="510"/>
      <c r="K281" s="510"/>
      <c r="M281" s="414"/>
      <c r="N281" s="279"/>
    </row>
    <row r="282" spans="9:14" x14ac:dyDescent="0.45">
      <c r="I282" s="503"/>
      <c r="J282" s="510"/>
      <c r="K282" s="510"/>
      <c r="M282" s="414"/>
      <c r="N282" s="279"/>
    </row>
    <row r="283" spans="9:14" x14ac:dyDescent="0.45">
      <c r="I283" s="462"/>
      <c r="J283" s="510"/>
      <c r="K283" s="510"/>
      <c r="M283" s="414"/>
      <c r="N283" s="279"/>
    </row>
    <row r="284" spans="9:14" x14ac:dyDescent="0.45">
      <c r="I284" s="462"/>
      <c r="J284" s="510"/>
      <c r="K284" s="510"/>
      <c r="M284" s="414"/>
      <c r="N284" s="279"/>
    </row>
    <row r="285" spans="9:14" x14ac:dyDescent="0.45">
      <c r="I285" s="462"/>
      <c r="J285" s="510"/>
      <c r="K285" s="510"/>
      <c r="M285" s="414"/>
      <c r="N285" s="279"/>
    </row>
    <row r="286" spans="9:14" x14ac:dyDescent="0.45">
      <c r="I286" s="462"/>
      <c r="J286" s="510"/>
      <c r="K286" s="510"/>
      <c r="M286" s="414"/>
      <c r="N286" s="279"/>
    </row>
    <row r="287" spans="9:14" x14ac:dyDescent="0.45">
      <c r="I287" s="462"/>
      <c r="J287" s="510"/>
      <c r="K287" s="510"/>
      <c r="M287" s="414"/>
      <c r="N287" s="279"/>
    </row>
    <row r="288" spans="9:14" x14ac:dyDescent="0.45">
      <c r="I288" s="462"/>
      <c r="J288" s="510"/>
      <c r="K288" s="510"/>
      <c r="M288" s="414"/>
      <c r="N288" s="279"/>
    </row>
    <row r="289" spans="9:14" x14ac:dyDescent="0.45">
      <c r="I289" s="462"/>
      <c r="J289" s="510"/>
      <c r="K289" s="510"/>
      <c r="M289" s="414"/>
      <c r="N289" s="279"/>
    </row>
    <row r="290" spans="9:14" x14ac:dyDescent="0.45">
      <c r="I290" s="462"/>
      <c r="J290" s="510"/>
      <c r="K290" s="510"/>
      <c r="M290" s="414"/>
      <c r="N290" s="279"/>
    </row>
    <row r="291" spans="9:14" x14ac:dyDescent="0.45">
      <c r="I291" s="462"/>
      <c r="J291" s="510"/>
      <c r="K291" s="510"/>
      <c r="M291" s="414"/>
      <c r="N291" s="279"/>
    </row>
    <row r="292" spans="9:14" x14ac:dyDescent="0.45">
      <c r="I292" s="462"/>
      <c r="J292" s="463"/>
      <c r="K292" s="463"/>
      <c r="M292" s="414"/>
      <c r="N292" s="279"/>
    </row>
    <row r="293" spans="9:14" x14ac:dyDescent="0.45">
      <c r="I293" s="462"/>
      <c r="J293" s="463"/>
      <c r="K293" s="463"/>
      <c r="M293" s="414"/>
      <c r="N293" s="279"/>
    </row>
    <row r="294" spans="9:14" x14ac:dyDescent="0.45">
      <c r="I294" s="462"/>
      <c r="J294" s="463"/>
      <c r="K294" s="463"/>
      <c r="M294" s="414"/>
      <c r="N294" s="279"/>
    </row>
    <row r="295" spans="9:14" x14ac:dyDescent="0.45">
      <c r="I295" s="462"/>
      <c r="J295" s="463"/>
      <c r="K295" s="463"/>
      <c r="M295" s="414"/>
      <c r="N295" s="279"/>
    </row>
    <row r="296" spans="9:14" x14ac:dyDescent="0.45">
      <c r="I296" s="462"/>
      <c r="J296" s="463"/>
      <c r="K296" s="463"/>
      <c r="M296" s="414"/>
      <c r="N296" s="279"/>
    </row>
    <row r="297" spans="9:14" x14ac:dyDescent="0.45">
      <c r="I297" s="462"/>
      <c r="J297" s="463"/>
      <c r="K297" s="463"/>
      <c r="M297" s="414"/>
      <c r="N297" s="279"/>
    </row>
    <row r="298" spans="9:14" x14ac:dyDescent="0.45">
      <c r="I298" s="462"/>
      <c r="J298" s="463"/>
      <c r="K298" s="463"/>
      <c r="M298" s="414"/>
      <c r="N298" s="279"/>
    </row>
    <row r="299" spans="9:14" x14ac:dyDescent="0.45">
      <c r="I299" s="462"/>
      <c r="J299" s="463"/>
      <c r="K299" s="463"/>
      <c r="M299" s="414"/>
      <c r="N299" s="279"/>
    </row>
    <row r="300" spans="9:14" x14ac:dyDescent="0.45">
      <c r="I300" s="462"/>
      <c r="J300" s="463"/>
      <c r="K300" s="463"/>
      <c r="M300" s="414"/>
      <c r="N300" s="279"/>
    </row>
    <row r="301" spans="9:14" x14ac:dyDescent="0.45">
      <c r="M301" s="414"/>
      <c r="N301" s="279"/>
    </row>
  </sheetData>
  <sheetProtection selectLockedCells="1"/>
  <mergeCells count="11">
    <mergeCell ref="E42:F42"/>
    <mergeCell ref="J20:J21"/>
    <mergeCell ref="M25:S26"/>
    <mergeCell ref="I1:J1"/>
    <mergeCell ref="F5:H5"/>
    <mergeCell ref="F3:H3"/>
    <mergeCell ref="F4:H4"/>
    <mergeCell ref="M23:N23"/>
    <mergeCell ref="I19:J19"/>
    <mergeCell ref="J6:K10"/>
    <mergeCell ref="J5:K5"/>
  </mergeCells>
  <conditionalFormatting sqref="D56">
    <cfRule type="expression" priority="13">
      <formula>AND($I$54&gt;0)</formula>
    </cfRule>
  </conditionalFormatting>
  <conditionalFormatting sqref="F12 F15:F19">
    <cfRule type="cellIs" dxfId="16" priority="38" operator="greaterThan">
      <formula>36</formula>
    </cfRule>
  </conditionalFormatting>
  <conditionalFormatting sqref="G54">
    <cfRule type="cellIs" dxfId="15" priority="8" operator="greaterThan">
      <formula>60000</formula>
    </cfRule>
  </conditionalFormatting>
  <conditionalFormatting sqref="G57">
    <cfRule type="cellIs" dxfId="14" priority="1" operator="greaterThan">
      <formula>60000</formula>
    </cfRule>
  </conditionalFormatting>
  <conditionalFormatting sqref="G60">
    <cfRule type="cellIs" dxfId="13" priority="3" operator="greaterThan">
      <formula>60000</formula>
    </cfRule>
  </conditionalFormatting>
  <conditionalFormatting sqref="G63">
    <cfRule type="cellIs" dxfId="12" priority="2" operator="greaterThan">
      <formula>60000</formula>
    </cfRule>
  </conditionalFormatting>
  <conditionalFormatting sqref="I42">
    <cfRule type="expression" dxfId="11" priority="16">
      <formula>AND($I$42&gt;$M$42)</formula>
    </cfRule>
  </conditionalFormatting>
  <conditionalFormatting sqref="I66">
    <cfRule type="expression" dxfId="10" priority="14">
      <formula>AND($I$66&lt;(dépense*0.2))</formula>
    </cfRule>
  </conditionalFormatting>
  <conditionalFormatting sqref="L68">
    <cfRule type="cellIs" dxfId="9" priority="27" operator="greaterThan">
      <formula>0.8</formula>
    </cfRule>
  </conditionalFormatting>
  <conditionalFormatting sqref="L69">
    <cfRule type="expression" priority="26">
      <formula>"I55&gt;J55"</formula>
    </cfRule>
  </conditionalFormatting>
  <dataValidations count="6">
    <dataValidation type="custom" allowBlank="1" showInputMessage="1" showErrorMessage="1" sqref="I69" xr:uid="{D2FB120A-4DFC-4778-9DBA-542FA3E551E0}">
      <formula1>IF(aide&gt;plafond,plafond,(M69*dépense))</formula1>
    </dataValidation>
    <dataValidation type="list" allowBlank="1" showInputMessage="1" showErrorMessage="1" sqref="F6" xr:uid="{FC832B4C-E001-4506-A5FB-6D25CE12F83D}">
      <formula1>"OUI,NON"</formula1>
    </dataValidation>
    <dataValidation type="list" allowBlank="1" showInputMessage="1" showErrorMessage="1" sqref="I1:J1" xr:uid="{5A29F982-B68B-4138-A04C-D97647B4A991}">
      <formula1>"INNOVATION,MODERNISATION"</formula1>
    </dataValidation>
    <dataValidation type="list" allowBlank="1" showInputMessage="1" showErrorMessage="1" prompt="Liste déroulante" sqref="G53 G56 G59 G62" xr:uid="{B872133A-21C1-4D27-97C1-9BF0C477CD60}">
      <formula1>"CDD,CDI"</formula1>
    </dataValidation>
    <dataValidation allowBlank="1" showInputMessage="1" showErrorMessage="1" prompt="JJ/MM/AAAA" sqref="G55 G58 G61 G64" xr:uid="{15684E7A-FFC9-4CC3-962E-43874E3AA06E}"/>
    <dataValidation allowBlank="1" showInputMessage="1" showErrorMessage="1" prompt="Le salaire est plafonné à 60 K€. Si le salaire réel est supérieur, le calcul le ramènera à 60 K€." sqref="G54 G57" xr:uid="{C8182F4C-4851-4DBA-857D-79951F07B772}"/>
  </dataValidations>
  <printOptions horizontalCentered="1" verticalCentered="1"/>
  <pageMargins left="0.19685039370078741" right="0.19685039370078741" top="0.39370078740157483" bottom="0.39370078740157483" header="0" footer="0"/>
  <pageSetup paperSize="9" scale="30" orientation="portrait" r:id="rId1"/>
  <rowBreaks count="2" manualBreakCount="2">
    <brk id="67" min="1" max="19" man="1"/>
    <brk id="76" min="1" max="19" man="1"/>
  </rowBreaks>
  <colBreaks count="1" manualBreakCount="1">
    <brk id="8" max="79"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396C2-576B-4BEA-9639-1EE45316FED3}">
  <sheetPr codeName="Feuil3">
    <tabColor rgb="FFFFFF99"/>
    <pageSetUpPr fitToPage="1"/>
  </sheetPr>
  <dimension ref="A1:BI141"/>
  <sheetViews>
    <sheetView showZeros="0" topLeftCell="A11" zoomScale="75" zoomScaleNormal="75" workbookViewId="0">
      <selection activeCell="L36" sqref="L36"/>
    </sheetView>
  </sheetViews>
  <sheetFormatPr baseColWidth="10" defaultColWidth="10.81640625" defaultRowHeight="14.5" x14ac:dyDescent="0.35"/>
  <cols>
    <col min="1" max="1" width="6.54296875" style="53" customWidth="1"/>
    <col min="2" max="2" width="3.54296875" style="10" customWidth="1"/>
    <col min="3" max="4" width="12.54296875" style="10" customWidth="1"/>
    <col min="5" max="10" width="18.54296875" style="10" customWidth="1"/>
    <col min="11" max="11" width="21.54296875" style="87" customWidth="1"/>
    <col min="12" max="12" width="15.54296875" style="40" customWidth="1"/>
    <col min="13" max="15" width="10.81640625" style="11"/>
    <col min="16" max="16" width="10.81640625" style="42"/>
    <col min="17" max="18" width="3.54296875" style="42" customWidth="1"/>
    <col min="19" max="61" width="10.81640625" style="42"/>
    <col min="62" max="16384" width="10.81640625" style="10"/>
  </cols>
  <sheetData>
    <row r="1" spans="1:61" ht="15.5" x14ac:dyDescent="0.35">
      <c r="B1" s="23" t="s">
        <v>409</v>
      </c>
      <c r="C1" s="24"/>
      <c r="D1" s="63">
        <f>date</f>
        <v>0</v>
      </c>
      <c r="E1" s="2"/>
      <c r="F1" s="2"/>
      <c r="G1" s="2"/>
      <c r="H1" s="2"/>
      <c r="I1" s="2"/>
      <c r="J1" s="2"/>
      <c r="L1" s="144" t="s">
        <v>441</v>
      </c>
      <c r="M1" s="1"/>
      <c r="N1" s="54"/>
      <c r="O1" s="54"/>
      <c r="P1" s="54"/>
      <c r="Q1" s="54"/>
      <c r="R1" s="54"/>
      <c r="S1" s="54"/>
      <c r="T1" s="54"/>
      <c r="U1" s="54"/>
      <c r="V1" s="54"/>
    </row>
    <row r="2" spans="1:61" s="11" customFormat="1" ht="15" customHeight="1" x14ac:dyDescent="0.35">
      <c r="A2" s="53"/>
      <c r="B2" s="847" t="s">
        <v>0</v>
      </c>
      <c r="C2" s="848"/>
      <c r="D2" s="848"/>
      <c r="E2" s="848"/>
      <c r="F2" s="848"/>
      <c r="G2" s="848"/>
      <c r="H2" s="848"/>
      <c r="I2" s="848"/>
      <c r="J2" s="849"/>
      <c r="K2" s="87"/>
      <c r="L2" s="77"/>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row>
    <row r="3" spans="1:61" s="11" customFormat="1" ht="15" customHeight="1" x14ac:dyDescent="0.35">
      <c r="A3" s="53"/>
      <c r="B3" s="850" t="s">
        <v>184</v>
      </c>
      <c r="C3" s="851"/>
      <c r="D3" s="851"/>
      <c r="E3" s="851"/>
      <c r="F3" s="851"/>
      <c r="G3" s="851"/>
      <c r="H3" s="851"/>
      <c r="I3" s="851"/>
      <c r="J3" s="852"/>
      <c r="K3" s="87"/>
      <c r="L3" s="138" t="s">
        <v>528</v>
      </c>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row>
    <row r="4" spans="1:61" ht="15" customHeight="1" x14ac:dyDescent="0.35">
      <c r="B4" s="802" t="s">
        <v>39</v>
      </c>
      <c r="C4" s="803"/>
      <c r="D4" s="803"/>
      <c r="E4" s="803"/>
      <c r="F4" s="803"/>
      <c r="G4" s="803"/>
      <c r="H4" s="803"/>
      <c r="I4" s="803"/>
      <c r="J4" s="804"/>
      <c r="L4" s="43"/>
      <c r="M4" s="42"/>
      <c r="N4" s="80"/>
      <c r="O4" s="80"/>
    </row>
    <row r="5" spans="1:61" ht="15" customHeight="1" x14ac:dyDescent="0.35">
      <c r="B5" s="774" t="s">
        <v>164</v>
      </c>
      <c r="C5" s="775"/>
      <c r="D5" s="775"/>
      <c r="E5" s="853" t="str">
        <f>porteur</f>
        <v/>
      </c>
      <c r="F5" s="853"/>
      <c r="G5" s="853"/>
      <c r="H5" s="853"/>
      <c r="I5" s="853"/>
      <c r="J5" s="854"/>
      <c r="L5" s="43"/>
      <c r="M5" s="42"/>
      <c r="N5" s="80"/>
      <c r="O5" s="80"/>
    </row>
    <row r="6" spans="1:61" ht="15" customHeight="1" x14ac:dyDescent="0.35">
      <c r="B6" s="855" t="s">
        <v>40</v>
      </c>
      <c r="C6" s="779"/>
      <c r="D6" s="779"/>
      <c r="E6" s="856" t="str">
        <f>IF(Resp=0," ",Resp)</f>
        <v xml:space="preserve"> </v>
      </c>
      <c r="F6" s="857"/>
      <c r="G6" s="857"/>
      <c r="H6" s="857"/>
      <c r="I6" s="857"/>
      <c r="J6" s="858"/>
      <c r="L6" s="41"/>
      <c r="M6" s="42"/>
      <c r="N6" s="42"/>
      <c r="O6" s="42"/>
    </row>
    <row r="7" spans="1:61" ht="15" customHeight="1" x14ac:dyDescent="0.35">
      <c r="B7" s="855" t="s">
        <v>167</v>
      </c>
      <c r="C7" s="779"/>
      <c r="D7" s="779"/>
      <c r="E7" s="856" t="str">
        <f>IF(DG=0," ",DG)</f>
        <v xml:space="preserve"> </v>
      </c>
      <c r="F7" s="857"/>
      <c r="G7" s="857"/>
      <c r="H7" s="857"/>
      <c r="I7" s="857"/>
      <c r="J7" s="858"/>
      <c r="L7" s="142" t="s">
        <v>398</v>
      </c>
      <c r="M7" s="73" t="s">
        <v>448</v>
      </c>
      <c r="N7" s="42"/>
      <c r="O7" s="42"/>
    </row>
    <row r="8" spans="1:61" ht="15" customHeight="1" x14ac:dyDescent="0.35">
      <c r="B8" s="231" t="s">
        <v>170</v>
      </c>
      <c r="C8" s="232"/>
      <c r="D8" s="233"/>
      <c r="E8" s="222" t="s">
        <v>41</v>
      </c>
      <c r="F8" s="103" t="str">
        <f>IF(Tél=0," ",Tél)</f>
        <v xml:space="preserve"> </v>
      </c>
      <c r="G8" s="222" t="s">
        <v>58</v>
      </c>
      <c r="H8" s="841" t="str">
        <f>IF(mail=0," ",mail)</f>
        <v xml:space="preserve"> </v>
      </c>
      <c r="I8" s="842"/>
      <c r="J8" s="843"/>
      <c r="L8" s="143" t="s">
        <v>399</v>
      </c>
      <c r="M8" s="73" t="s">
        <v>431</v>
      </c>
      <c r="N8" s="42"/>
      <c r="O8" s="42"/>
    </row>
    <row r="9" spans="1:61" ht="15" customHeight="1" x14ac:dyDescent="0.35">
      <c r="B9" s="234"/>
      <c r="C9" s="228"/>
      <c r="D9" s="235"/>
      <c r="E9" s="223" t="s">
        <v>4</v>
      </c>
      <c r="F9" s="104" t="str">
        <f>IF(Villeols=0," ",Villeols)</f>
        <v/>
      </c>
      <c r="G9" s="223" t="s">
        <v>43</v>
      </c>
      <c r="H9" s="106" t="str">
        <f>IF(Codep=0," ",Codep)</f>
        <v/>
      </c>
      <c r="I9" s="223" t="s">
        <v>1</v>
      </c>
      <c r="J9" s="107" t="str">
        <f>IF(ISERROR(VLOOKUP(LEFT(H9,2),région,4,0))," ",(VLOOKUP(LEFT(H9,2),région,4,0)))</f>
        <v xml:space="preserve"> </v>
      </c>
      <c r="L9" s="41"/>
      <c r="M9" s="42"/>
      <c r="N9" s="42"/>
      <c r="O9" s="42"/>
    </row>
    <row r="10" spans="1:61" ht="15" customHeight="1" x14ac:dyDescent="0.35">
      <c r="B10" s="859"/>
      <c r="C10" s="860"/>
      <c r="D10" s="861"/>
      <c r="E10" s="223" t="s">
        <v>165</v>
      </c>
      <c r="F10" s="105" t="str">
        <f>IF(Famille=0," ",Famille)</f>
        <v>Dérouler le menu</v>
      </c>
      <c r="G10" s="223" t="s">
        <v>166</v>
      </c>
      <c r="H10" s="862" t="str">
        <f>IF(SIRET=0," ",SIRET)</f>
        <v/>
      </c>
      <c r="I10" s="863"/>
      <c r="J10" s="864"/>
      <c r="L10" s="41"/>
      <c r="M10" s="42"/>
      <c r="N10" s="42"/>
      <c r="O10" s="42"/>
    </row>
    <row r="11" spans="1:61" ht="36" customHeight="1" x14ac:dyDescent="0.35">
      <c r="B11" s="820" t="s">
        <v>145</v>
      </c>
      <c r="C11" s="821"/>
      <c r="D11" s="821"/>
      <c r="E11" s="830" t="str">
        <f>IF('Si inter-organisme'!B29&gt;10,CONCATENATE('Si inter-organisme'!B6," ",'Si inter-organisme'!B7," ",'Si inter-organisme'!B8," ",'Si inter-organisme'!B9," ",'Si inter-organisme'!B10," ",'Si inter-organisme'!B11," ",'Si inter-organisme'!B12," ",'Si inter-organisme'!B13," ",'Si inter-organisme'!B14),"Cf. annexe Interorganisme")</f>
        <v xml:space="preserve">        </v>
      </c>
      <c r="F11" s="830"/>
      <c r="G11" s="830"/>
      <c r="H11" s="830"/>
      <c r="I11" s="830"/>
      <c r="J11" s="831"/>
      <c r="K11" s="71"/>
      <c r="L11" s="812" t="s">
        <v>494</v>
      </c>
      <c r="M11" s="813"/>
      <c r="N11" s="813"/>
      <c r="O11" s="813"/>
      <c r="P11" s="813"/>
      <c r="Q11" s="813"/>
      <c r="R11" s="813"/>
      <c r="S11" s="813"/>
    </row>
    <row r="12" spans="1:61" ht="15" customHeight="1" x14ac:dyDescent="0.35">
      <c r="B12" s="802" t="s">
        <v>44</v>
      </c>
      <c r="C12" s="803"/>
      <c r="D12" s="803"/>
      <c r="E12" s="803"/>
      <c r="F12" s="803"/>
      <c r="G12" s="803"/>
      <c r="H12" s="803"/>
      <c r="I12" s="803"/>
      <c r="J12" s="804"/>
      <c r="L12" s="140"/>
      <c r="M12" s="141"/>
      <c r="N12" s="141"/>
      <c r="O12" s="141"/>
      <c r="P12" s="141"/>
      <c r="Q12" s="141"/>
    </row>
    <row r="13" spans="1:61" ht="15" customHeight="1" x14ac:dyDescent="0.35">
      <c r="B13" s="774" t="s">
        <v>56</v>
      </c>
      <c r="C13" s="775"/>
      <c r="D13" s="775"/>
      <c r="E13" s="853">
        <f>Projet</f>
        <v>0</v>
      </c>
      <c r="F13" s="853"/>
      <c r="G13" s="853"/>
      <c r="H13" s="853"/>
      <c r="I13" s="853"/>
      <c r="J13" s="854"/>
      <c r="L13" s="47"/>
      <c r="M13" s="48"/>
      <c r="N13" s="48"/>
      <c r="O13" s="48"/>
      <c r="P13" s="48"/>
    </row>
    <row r="14" spans="1:61" ht="15" customHeight="1" x14ac:dyDescent="0.35">
      <c r="B14" s="855" t="s">
        <v>171</v>
      </c>
      <c r="C14" s="779"/>
      <c r="D14" s="779"/>
      <c r="E14" s="786" t="str">
        <f>IF(thème=0,"",thème)</f>
        <v/>
      </c>
      <c r="F14" s="787"/>
      <c r="G14" s="787"/>
      <c r="H14" s="787"/>
      <c r="I14" s="788"/>
      <c r="J14" s="108" t="str">
        <f>Type</f>
        <v>INNOVATION</v>
      </c>
      <c r="L14" s="47"/>
      <c r="M14" s="48"/>
      <c r="N14" s="48"/>
      <c r="O14" s="48"/>
      <c r="P14" s="48"/>
    </row>
    <row r="15" spans="1:61" ht="15" customHeight="1" x14ac:dyDescent="0.35">
      <c r="B15" s="780" t="s">
        <v>177</v>
      </c>
      <c r="C15" s="781"/>
      <c r="D15" s="782"/>
      <c r="E15" s="236" t="s">
        <v>178</v>
      </c>
      <c r="F15" s="237"/>
      <c r="G15" s="116"/>
      <c r="H15" s="779" t="s">
        <v>24</v>
      </c>
      <c r="I15" s="779"/>
      <c r="J15" s="109">
        <f>durée</f>
        <v>0</v>
      </c>
      <c r="K15" s="71" t="s">
        <v>472</v>
      </c>
      <c r="L15" s="47"/>
      <c r="M15" s="48"/>
      <c r="N15" s="48"/>
      <c r="O15" s="48"/>
      <c r="P15" s="48"/>
    </row>
    <row r="16" spans="1:61" ht="15" customHeight="1" x14ac:dyDescent="0.35">
      <c r="B16" s="783"/>
      <c r="C16" s="784"/>
      <c r="D16" s="785"/>
      <c r="E16" s="236" t="s">
        <v>173</v>
      </c>
      <c r="F16" s="237"/>
      <c r="G16" s="115">
        <f>dépense</f>
        <v>460</v>
      </c>
      <c r="H16" s="223" t="s">
        <v>172</v>
      </c>
      <c r="I16" s="223"/>
      <c r="J16" s="110" t="str">
        <f>Type</f>
        <v>INNOVATION</v>
      </c>
      <c r="K16" s="88"/>
      <c r="L16" s="47"/>
      <c r="M16" s="48"/>
      <c r="N16" s="48"/>
      <c r="O16" s="48"/>
      <c r="P16" s="48"/>
    </row>
    <row r="17" spans="2:18" ht="15" customHeight="1" x14ac:dyDescent="0.35">
      <c r="B17" s="783"/>
      <c r="C17" s="784"/>
      <c r="D17" s="785"/>
      <c r="E17" s="238" t="s">
        <v>175</v>
      </c>
      <c r="F17" s="239"/>
      <c r="G17" s="115">
        <f>FP</f>
        <v>184</v>
      </c>
      <c r="H17" s="240" t="s">
        <v>67</v>
      </c>
      <c r="I17" s="239"/>
      <c r="J17" s="111" t="str">
        <f>inter</f>
        <v>OUI</v>
      </c>
      <c r="K17" s="88"/>
      <c r="L17" s="47"/>
      <c r="M17" s="48"/>
      <c r="N17" s="48"/>
      <c r="O17" s="48"/>
      <c r="P17" s="48"/>
    </row>
    <row r="18" spans="2:18" ht="15" customHeight="1" x14ac:dyDescent="0.35">
      <c r="B18" s="783"/>
      <c r="C18" s="784"/>
      <c r="D18" s="785"/>
      <c r="E18" s="238" t="s">
        <v>174</v>
      </c>
      <c r="F18" s="239"/>
      <c r="G18" s="115">
        <f>aide</f>
        <v>276</v>
      </c>
      <c r="H18" s="241" t="s">
        <v>45</v>
      </c>
      <c r="I18" s="239"/>
      <c r="J18" s="112">
        <f>taux</f>
        <v>0.6</v>
      </c>
      <c r="K18" s="88"/>
      <c r="L18" s="78"/>
      <c r="M18" s="48"/>
      <c r="N18" s="48"/>
      <c r="O18" s="48"/>
      <c r="P18" s="48"/>
    </row>
    <row r="19" spans="2:18" ht="15" customHeight="1" x14ac:dyDescent="0.35">
      <c r="B19" s="783"/>
      <c r="C19" s="784"/>
      <c r="D19" s="785"/>
      <c r="E19" s="236" t="s">
        <v>46</v>
      </c>
      <c r="F19" s="239"/>
      <c r="G19" s="114" t="e">
        <f>SUM('Plan de financement'!I70:I75)+'Plan de financement'!#REF!</f>
        <v>#REF!</v>
      </c>
      <c r="H19" s="241" t="s">
        <v>33</v>
      </c>
      <c r="I19" s="239"/>
      <c r="J19" s="113">
        <f>plafond</f>
        <v>250000</v>
      </c>
      <c r="K19" s="88"/>
      <c r="L19" s="47"/>
      <c r="M19" s="48"/>
      <c r="N19" s="48"/>
      <c r="O19" s="48"/>
      <c r="P19" s="48"/>
    </row>
    <row r="20" spans="2:18" ht="15" customHeight="1" x14ac:dyDescent="0.35">
      <c r="B20" s="836" t="s">
        <v>176</v>
      </c>
      <c r="C20" s="837"/>
      <c r="D20" s="808"/>
      <c r="E20" s="768" t="e">
        <f>CONCATENATE(IF(prestataire1&lt;&gt;"",prestataire1&amp;". ",""),IF(prestataire2&lt;&gt;"",prestataire2&amp;". ",""),IF(prestataire3&lt;&gt;"",prestataire3&amp;". ",""),IF(prestataire4&lt;&gt;"",prestataire4&amp;". ",""),IF(prestataire5&lt;&gt;"",prestataire5&amp;". ",""),IF(prestataire6&lt;&gt;"",prestataire6&amp;". ",""),IF(prestataire7&lt;&gt;"",prestataire7&amp;". ",""),IF(prestataire8&lt;&gt;"",prestataire8&amp;". ",""),IF(prestataire9&lt;&gt;"",prestataire9&amp;". ",""),IF(prestataire10&lt;&gt;"",prestataire10&amp;". ",""),IF(prestataire11&lt;&gt;"",prestataire11&amp;". ",""),IF(prestataire12&lt;&gt;"",prestataire12&amp;". ",""),IF(prestataire13&lt;&gt;"",prestataire13&amp;". ",""),IF(Salaire1&gt;0,"recrutement"," "))</f>
        <v>#REF!</v>
      </c>
      <c r="F20" s="769"/>
      <c r="G20" s="769"/>
      <c r="H20" s="769"/>
      <c r="I20" s="769"/>
      <c r="J20" s="770"/>
      <c r="K20" s="71"/>
      <c r="L20" s="47"/>
      <c r="M20" s="48"/>
      <c r="N20" s="48"/>
      <c r="O20" s="48"/>
      <c r="P20" s="48"/>
    </row>
    <row r="21" spans="2:18" ht="15" customHeight="1" x14ac:dyDescent="0.35">
      <c r="B21" s="838"/>
      <c r="C21" s="839"/>
      <c r="D21" s="840"/>
      <c r="E21" s="771"/>
      <c r="F21" s="772"/>
      <c r="G21" s="772"/>
      <c r="H21" s="772"/>
      <c r="I21" s="772"/>
      <c r="J21" s="773"/>
      <c r="L21" s="47"/>
      <c r="M21" s="48"/>
      <c r="N21" s="48"/>
      <c r="O21" s="48"/>
      <c r="P21" s="48"/>
    </row>
    <row r="22" spans="2:18" ht="90" customHeight="1" x14ac:dyDescent="0.35">
      <c r="B22" s="820" t="s">
        <v>47</v>
      </c>
      <c r="C22" s="821"/>
      <c r="D22" s="821"/>
      <c r="E22" s="833"/>
      <c r="F22" s="834"/>
      <c r="G22" s="834"/>
      <c r="H22" s="834"/>
      <c r="I22" s="834"/>
      <c r="J22" s="835"/>
      <c r="K22" s="71" t="s">
        <v>472</v>
      </c>
      <c r="L22" s="140" t="s">
        <v>403</v>
      </c>
      <c r="M22" s="48"/>
      <c r="N22" s="48"/>
      <c r="O22" s="48"/>
      <c r="P22" s="48"/>
    </row>
    <row r="23" spans="2:18" ht="15" customHeight="1" x14ac:dyDescent="0.35">
      <c r="B23" s="832" t="s">
        <v>48</v>
      </c>
      <c r="C23" s="800"/>
      <c r="D23" s="800"/>
      <c r="E23" s="800"/>
      <c r="F23" s="800"/>
      <c r="G23" s="800"/>
      <c r="H23" s="800"/>
      <c r="I23" s="800"/>
      <c r="J23" s="801"/>
      <c r="L23" s="47"/>
      <c r="M23" s="48"/>
      <c r="N23" s="48"/>
      <c r="O23" s="48"/>
      <c r="P23" s="48"/>
    </row>
    <row r="24" spans="2:18" ht="15" customHeight="1" x14ac:dyDescent="0.35">
      <c r="B24" s="774" t="s">
        <v>168</v>
      </c>
      <c r="C24" s="775"/>
      <c r="D24" s="775"/>
      <c r="E24" s="794" t="s">
        <v>86</v>
      </c>
      <c r="F24" s="794"/>
      <c r="G24" s="794"/>
      <c r="H24" s="794"/>
      <c r="I24" s="794"/>
      <c r="J24" s="795"/>
      <c r="K24" s="71" t="s">
        <v>472</v>
      </c>
      <c r="L24" s="138" t="s">
        <v>706</v>
      </c>
      <c r="M24" s="139"/>
      <c r="N24" s="139"/>
      <c r="O24" s="139"/>
      <c r="P24" s="139"/>
      <c r="Q24" s="139"/>
    </row>
    <row r="25" spans="2:18" ht="15" customHeight="1" x14ac:dyDescent="0.35">
      <c r="B25" s="822" t="s">
        <v>49</v>
      </c>
      <c r="C25" s="823"/>
      <c r="D25" s="824"/>
      <c r="E25" s="844" t="str">
        <f>IF(ISNA(VLOOKUP($E$24,instruteur,2,0))," ",(VLOOKUP($E$24,instruteur,2,0)))</f>
        <v>521 avenue du Président Hoover</v>
      </c>
      <c r="F25" s="845"/>
      <c r="G25" s="845"/>
      <c r="H25" s="845"/>
      <c r="I25" s="845"/>
      <c r="J25" s="846"/>
      <c r="L25" s="138"/>
      <c r="M25" s="139"/>
      <c r="N25" s="139"/>
      <c r="O25" s="139"/>
      <c r="P25" s="139"/>
      <c r="Q25" s="139"/>
    </row>
    <row r="26" spans="2:18" ht="15" customHeight="1" x14ac:dyDescent="0.35">
      <c r="B26" s="825"/>
      <c r="C26" s="826"/>
      <c r="D26" s="827"/>
      <c r="E26" s="222" t="s">
        <v>43</v>
      </c>
      <c r="F26" s="158">
        <f>IF(ISNA(VLOOKUP($E$24,instruteur,4,0))," ",VLOOKUP($E$24,instruteur,4,0))</f>
        <v>59000</v>
      </c>
      <c r="G26" s="222" t="s">
        <v>4</v>
      </c>
      <c r="H26" s="117" t="str">
        <f>IF(ISNA(VLOOKUP($E$24,instruteur,5,0))," ",VLOOKUP($E$24,instruteur,5,0))</f>
        <v>Lille</v>
      </c>
      <c r="I26" s="222" t="s">
        <v>1</v>
      </c>
      <c r="J26" s="107" t="str">
        <f>IF(ISNA(VLOOKUP($E$24,instruteur,9,0))," ",VLOOKUP($E$24,instruteur,9,0))</f>
        <v>Hauts de France</v>
      </c>
      <c r="L26" s="41"/>
      <c r="M26" s="42"/>
      <c r="N26" s="42"/>
      <c r="O26" s="42"/>
    </row>
    <row r="27" spans="2:18" ht="15" customHeight="1" x14ac:dyDescent="0.35">
      <c r="B27" s="224"/>
      <c r="C27" s="225"/>
      <c r="D27" s="226"/>
      <c r="E27" s="222" t="s">
        <v>58</v>
      </c>
      <c r="F27" s="791" t="str">
        <f>IF(ISNA(VLOOKUP($E$24,instruteur,6,0))," ",(VLOOKUP($E$24,instruteur,6,0)))</f>
        <v>h.lepine@union-habitat.org</v>
      </c>
      <c r="G27" s="792"/>
      <c r="H27" s="793"/>
      <c r="I27" s="222" t="s">
        <v>41</v>
      </c>
      <c r="J27" s="118">
        <f>IF(ISNA(VLOOKUP($E$24,instruteur,8,0))," ",VLOOKUP($E$24,instruteur,8,0))</f>
        <v>328160770</v>
      </c>
      <c r="L27" s="41"/>
      <c r="M27" s="42"/>
      <c r="N27" s="42"/>
      <c r="O27" s="42"/>
    </row>
    <row r="28" spans="2:18" ht="15" customHeight="1" x14ac:dyDescent="0.35">
      <c r="B28" s="227" t="s">
        <v>169</v>
      </c>
      <c r="C28" s="228"/>
      <c r="D28" s="229"/>
      <c r="E28" s="828" t="s">
        <v>55</v>
      </c>
      <c r="F28" s="829"/>
      <c r="G28" s="119">
        <f>date</f>
        <v>0</v>
      </c>
      <c r="H28" s="120"/>
      <c r="I28" s="223" t="s">
        <v>50</v>
      </c>
      <c r="J28" s="230" t="s">
        <v>51</v>
      </c>
      <c r="L28" s="41"/>
      <c r="M28" s="42"/>
      <c r="N28" s="42"/>
      <c r="O28" s="42"/>
    </row>
    <row r="29" spans="2:18" ht="30" customHeight="1" x14ac:dyDescent="0.35">
      <c r="B29" s="227"/>
      <c r="C29" s="228"/>
      <c r="D29" s="229"/>
      <c r="E29" s="805" t="s">
        <v>53</v>
      </c>
      <c r="F29" s="806"/>
      <c r="G29" s="121"/>
      <c r="H29" s="121"/>
      <c r="I29" s="121"/>
      <c r="J29" s="122"/>
      <c r="K29" s="71" t="s">
        <v>472</v>
      </c>
      <c r="L29" s="41"/>
      <c r="M29" s="42"/>
      <c r="N29" s="42"/>
      <c r="O29" s="42"/>
    </row>
    <row r="30" spans="2:18" ht="30" customHeight="1" x14ac:dyDescent="0.35">
      <c r="B30" s="227"/>
      <c r="C30" s="228"/>
      <c r="D30" s="229"/>
      <c r="E30" s="807" t="s">
        <v>52</v>
      </c>
      <c r="F30" s="808"/>
      <c r="G30" s="123"/>
      <c r="H30" s="123"/>
      <c r="I30" s="123"/>
      <c r="J30" s="124"/>
      <c r="K30" s="71" t="s">
        <v>472</v>
      </c>
      <c r="L30" s="135" t="s">
        <v>426</v>
      </c>
      <c r="M30" s="42"/>
      <c r="N30" s="42"/>
      <c r="O30" s="42"/>
    </row>
    <row r="31" spans="2:18" ht="15" customHeight="1" x14ac:dyDescent="0.35">
      <c r="B31" s="802" t="s">
        <v>412</v>
      </c>
      <c r="C31" s="803"/>
      <c r="D31" s="803"/>
      <c r="E31" s="803"/>
      <c r="F31" s="803"/>
      <c r="G31" s="803"/>
      <c r="H31" s="803"/>
      <c r="I31" s="803"/>
      <c r="J31" s="804"/>
      <c r="K31" s="84" t="s">
        <v>472</v>
      </c>
      <c r="L31" s="136" t="str">
        <f>IF(AND(SUM(U40:U46)=$X$39,SUM(V40:V45)=SUM(W39:W44)),"Votre dossier est complet.","ATTENTION. Votre dossier n'est pas complet. Il manque")</f>
        <v>ATTENTION. Votre dossier n'est pas complet. Il manque</v>
      </c>
      <c r="M31" s="42"/>
      <c r="N31" s="42"/>
      <c r="O31" s="42"/>
    </row>
    <row r="32" spans="2:18" ht="15" customHeight="1" x14ac:dyDescent="0.35">
      <c r="B32" s="32" t="b">
        <v>0</v>
      </c>
      <c r="C32" s="56"/>
      <c r="D32" s="34"/>
      <c r="E32" s="34"/>
      <c r="F32" s="34"/>
      <c r="G32" s="34"/>
      <c r="H32" s="34"/>
      <c r="I32" s="57"/>
      <c r="J32" s="35"/>
      <c r="L32" s="137" t="str">
        <f>IF(AND(CPR=0,Type="modernisation"),"- l'avis du CPR à recueillir par l'AR pour un dossier de modernisation"," ")</f>
        <v xml:space="preserve"> </v>
      </c>
      <c r="M32" s="79"/>
      <c r="N32" s="79"/>
      <c r="O32" s="79"/>
      <c r="P32" s="79"/>
      <c r="Q32" s="79"/>
      <c r="R32" s="79"/>
    </row>
    <row r="33" spans="2:61" s="10" customFormat="1" ht="15" customHeight="1" x14ac:dyDescent="0.35">
      <c r="B33" s="32" t="b">
        <v>0</v>
      </c>
      <c r="C33" s="515" t="s">
        <v>707</v>
      </c>
      <c r="D33" s="25"/>
      <c r="E33" s="2"/>
      <c r="F33" s="2"/>
      <c r="G33" s="2"/>
      <c r="H33" s="2"/>
      <c r="I33" s="2"/>
      <c r="J33" s="35"/>
      <c r="K33" s="87"/>
      <c r="L33" s="137" t="str">
        <f>IF(Pièce1=0,"- la pièce 1.1  le ou les courriers"," ")</f>
        <v>- la pièce 1.1  le ou les courriers</v>
      </c>
      <c r="M33" s="79"/>
      <c r="N33" s="79"/>
      <c r="O33" s="79"/>
      <c r="P33" s="79"/>
      <c r="Q33" s="79"/>
      <c r="R33" s="79"/>
      <c r="S33" s="716"/>
      <c r="T33" s="716"/>
      <c r="U33" s="716"/>
      <c r="V33" s="716"/>
      <c r="W33" s="716"/>
      <c r="X33" s="716"/>
      <c r="Y33" s="716"/>
      <c r="Z33" s="716"/>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row>
    <row r="34" spans="2:61" s="10" customFormat="1" ht="15" customHeight="1" x14ac:dyDescent="0.35">
      <c r="B34" s="32" t="b">
        <v>0</v>
      </c>
      <c r="C34" s="515" t="s">
        <v>699</v>
      </c>
      <c r="D34" s="25"/>
      <c r="E34" s="2"/>
      <c r="F34" s="2"/>
      <c r="G34" s="2"/>
      <c r="H34" s="2"/>
      <c r="I34" s="2"/>
      <c r="J34" s="35"/>
      <c r="K34" s="87"/>
      <c r="L34" s="137" t="str">
        <f>IF(Pièce2=0,"- la pièce 1.2. Note de synthèse"," ")</f>
        <v>- la pièce 1.2. Note de synthèse</v>
      </c>
      <c r="M34" s="44"/>
      <c r="N34" s="44"/>
      <c r="O34" s="44"/>
      <c r="P34" s="79"/>
      <c r="Q34" s="79"/>
      <c r="R34" s="79"/>
      <c r="S34" s="716"/>
      <c r="T34" s="716"/>
      <c r="U34" s="716"/>
      <c r="V34" s="716"/>
      <c r="W34" s="716"/>
      <c r="X34" s="716"/>
      <c r="Y34" s="716"/>
      <c r="Z34" s="716"/>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row>
    <row r="35" spans="2:61" s="10" customFormat="1" ht="15" customHeight="1" x14ac:dyDescent="0.35">
      <c r="B35" s="32" t="b">
        <v>0</v>
      </c>
      <c r="C35" s="515" t="s">
        <v>700</v>
      </c>
      <c r="D35" s="25"/>
      <c r="E35" s="2"/>
      <c r="F35" s="2"/>
      <c r="G35" s="2"/>
      <c r="H35" s="2"/>
      <c r="I35" s="2"/>
      <c r="J35" s="35"/>
      <c r="K35" s="87"/>
      <c r="L35" s="137" t="str">
        <f>IF(Pièce4=0,"- la pièce 1.3. le plan de financement (Cf.onglet 3 de ce fichier)"," ")</f>
        <v>- la pièce 1.3. le plan de financement (Cf.onglet 3 de ce fichier)</v>
      </c>
      <c r="M35" s="44"/>
      <c r="N35" s="44"/>
      <c r="O35" s="44"/>
      <c r="P35" s="79"/>
      <c r="Q35" s="79"/>
      <c r="R35" s="79"/>
      <c r="S35" s="716"/>
      <c r="T35" s="716"/>
      <c r="U35" s="716"/>
      <c r="V35" s="716"/>
      <c r="W35" s="716"/>
      <c r="X35" s="716"/>
      <c r="Y35" s="716"/>
      <c r="Z35" s="716"/>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row>
    <row r="36" spans="2:61" s="10" customFormat="1" ht="15" customHeight="1" x14ac:dyDescent="0.35">
      <c r="B36" s="32" t="b">
        <v>0</v>
      </c>
      <c r="C36" s="515" t="s">
        <v>702</v>
      </c>
      <c r="D36" s="25"/>
      <c r="E36" s="2"/>
      <c r="F36" s="2"/>
      <c r="G36" s="2"/>
      <c r="H36" s="2"/>
      <c r="I36" s="2"/>
      <c r="J36" s="35"/>
      <c r="K36" s="87"/>
      <c r="L36" s="137" t="str">
        <f>IF(Pièce5=0,"- la pièce 1.4. Elements salariaux"," ")</f>
        <v>- la pièce 1.4. Elements salariaux</v>
      </c>
      <c r="M36" s="79"/>
      <c r="N36" s="79"/>
      <c r="O36" s="79"/>
      <c r="P36" s="79"/>
      <c r="Q36" s="79"/>
      <c r="R36" s="79"/>
      <c r="S36" s="716"/>
      <c r="T36" s="716"/>
      <c r="U36" s="716"/>
      <c r="V36" s="716"/>
      <c r="W36" s="716"/>
      <c r="X36" s="716"/>
      <c r="Y36" s="716"/>
      <c r="Z36" s="716"/>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row>
    <row r="37" spans="2:61" s="10" customFormat="1" ht="15" customHeight="1" x14ac:dyDescent="0.35">
      <c r="B37" s="32" t="b">
        <v>0</v>
      </c>
      <c r="C37" s="515" t="s">
        <v>701</v>
      </c>
      <c r="D37" s="25"/>
      <c r="E37" s="2"/>
      <c r="F37" s="2"/>
      <c r="G37" s="2"/>
      <c r="H37" s="2"/>
      <c r="I37" s="2"/>
      <c r="J37" s="35"/>
      <c r="K37" s="87"/>
      <c r="L37" s="137" t="str">
        <f>IF(Pièce6=0,"- la pièce 1.5 Proposition du (des) prestataire(s)"," ")</f>
        <v>- la pièce 1.5 Proposition du (des) prestataire(s)</v>
      </c>
      <c r="M37" s="79"/>
      <c r="N37" s="79"/>
      <c r="O37" s="79"/>
      <c r="P37" s="79"/>
      <c r="Q37" s="79"/>
      <c r="R37" s="79"/>
      <c r="S37" s="716"/>
      <c r="T37" s="716"/>
      <c r="U37" s="716"/>
      <c r="V37" s="716"/>
      <c r="W37" s="716"/>
      <c r="X37" s="716"/>
      <c r="Y37" s="716"/>
      <c r="Z37" s="716"/>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row>
    <row r="38" spans="2:61" s="10" customFormat="1" ht="15" customHeight="1" x14ac:dyDescent="0.35">
      <c r="B38" s="32" t="b">
        <v>0</v>
      </c>
      <c r="C38" s="515"/>
      <c r="D38" s="25"/>
      <c r="E38" s="2"/>
      <c r="F38" s="2"/>
      <c r="G38" s="2"/>
      <c r="H38" s="2"/>
      <c r="I38" s="2"/>
      <c r="J38" s="35"/>
      <c r="K38" s="87"/>
      <c r="L38" s="137"/>
      <c r="M38" s="79"/>
      <c r="N38" s="79"/>
      <c r="O38" s="79"/>
      <c r="P38" s="79"/>
      <c r="Q38" s="79"/>
      <c r="R38" s="79"/>
      <c r="S38" s="716"/>
      <c r="T38" s="716"/>
      <c r="U38" s="763" t="s">
        <v>708</v>
      </c>
      <c r="V38" s="764"/>
      <c r="W38" s="764"/>
      <c r="X38" s="765"/>
      <c r="Y38" s="716"/>
      <c r="Z38" s="716"/>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row>
    <row r="39" spans="2:61" s="10" customFormat="1" ht="15" customHeight="1" x14ac:dyDescent="0.35">
      <c r="B39" s="33" t="s">
        <v>160</v>
      </c>
      <c r="C39" s="25"/>
      <c r="D39" s="25"/>
      <c r="E39" s="2"/>
      <c r="F39" s="2"/>
      <c r="G39" s="2"/>
      <c r="H39" s="2"/>
      <c r="I39" s="2"/>
      <c r="J39" s="35"/>
      <c r="K39" s="87"/>
      <c r="L39" s="81"/>
      <c r="M39" s="79"/>
      <c r="N39" s="79"/>
      <c r="O39" s="79"/>
      <c r="P39" s="79"/>
      <c r="Q39" s="79"/>
      <c r="R39" s="79"/>
      <c r="S39" s="716"/>
      <c r="T39" s="716"/>
      <c r="U39" s="766" t="s">
        <v>709</v>
      </c>
      <c r="V39" s="767"/>
      <c r="W39" s="717" t="s">
        <v>68</v>
      </c>
      <c r="X39" s="718">
        <f>IF(Type="modernisation",7,6)</f>
        <v>6</v>
      </c>
      <c r="Y39" s="716"/>
      <c r="Z39" s="716"/>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row>
    <row r="40" spans="2:61" s="10" customFormat="1" ht="15" customHeight="1" x14ac:dyDescent="0.35">
      <c r="B40" s="32" t="b">
        <v>0</v>
      </c>
      <c r="C40" s="515" t="s">
        <v>703</v>
      </c>
      <c r="D40" s="25"/>
      <c r="E40" s="2"/>
      <c r="F40" s="2"/>
      <c r="G40" s="2"/>
      <c r="H40" s="2"/>
      <c r="I40" s="2"/>
      <c r="J40" s="35"/>
      <c r="K40" s="87"/>
      <c r="L40" s="81"/>
      <c r="M40" s="79"/>
      <c r="N40" s="79"/>
      <c r="O40" s="79"/>
      <c r="P40" s="79"/>
      <c r="Q40" s="79"/>
      <c r="R40" s="79"/>
      <c r="S40" s="716"/>
      <c r="T40" s="716"/>
      <c r="U40" s="719">
        <f t="shared" ref="U40:U45" si="0">IF(B32=TRUE,1,0)</f>
        <v>0</v>
      </c>
      <c r="V40" s="67">
        <f t="shared" ref="V40:V45" si="1">IF(B40=TRUE,1,0)</f>
        <v>0</v>
      </c>
      <c r="W40" s="720">
        <f>IF(aide&gt;23000,1,0)</f>
        <v>0</v>
      </c>
      <c r="X40" s="721"/>
      <c r="Y40" s="716"/>
      <c r="Z40" s="716"/>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row>
    <row r="41" spans="2:61" s="10" customFormat="1" ht="15" customHeight="1" x14ac:dyDescent="0.35">
      <c r="B41" s="32" t="b">
        <v>0</v>
      </c>
      <c r="C41" s="515" t="s">
        <v>704</v>
      </c>
      <c r="D41" s="25"/>
      <c r="E41" s="2"/>
      <c r="F41" s="2"/>
      <c r="G41" s="2"/>
      <c r="H41" s="2"/>
      <c r="I41" s="2"/>
      <c r="J41" s="35"/>
      <c r="K41" s="87"/>
      <c r="L41" s="81" t="str">
        <f>IF(Pièce8=0,"- la Pièce 2.1.  Note de faisabilité juridique du projet si interrogation sur celle-ci"," ")</f>
        <v>- la Pièce 2.1.  Note de faisabilité juridique du projet si interrogation sur celle-ci</v>
      </c>
      <c r="M41" s="79"/>
      <c r="N41" s="79"/>
      <c r="O41" s="79"/>
      <c r="P41" s="79"/>
      <c r="Q41" s="79"/>
      <c r="R41" s="79"/>
      <c r="S41" s="716"/>
      <c r="T41" s="716"/>
      <c r="U41" s="719">
        <f t="shared" si="0"/>
        <v>0</v>
      </c>
      <c r="V41" s="67">
        <f t="shared" si="1"/>
        <v>0</v>
      </c>
      <c r="W41" s="720">
        <f>IF(Salaire1&gt;0,1,0)</f>
        <v>0</v>
      </c>
      <c r="X41" s="721"/>
      <c r="Y41" s="716"/>
      <c r="Z41" s="716"/>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row>
    <row r="42" spans="2:61" s="10" customFormat="1" ht="15" customHeight="1" x14ac:dyDescent="0.35">
      <c r="B42" s="32" t="b">
        <v>0</v>
      </c>
      <c r="C42" s="515" t="s">
        <v>705</v>
      </c>
      <c r="D42" s="25"/>
      <c r="E42" s="2"/>
      <c r="F42" s="2"/>
      <c r="G42" s="2"/>
      <c r="H42" s="2"/>
      <c r="I42" s="2"/>
      <c r="J42" s="35"/>
      <c r="K42" s="87"/>
      <c r="L42" s="81" t="str">
        <f>IF(Pièce9=0,"- la Pièce 2.2. Simulation d'impact financier si situation financière problématique"," ")</f>
        <v>- la Pièce 2.2. Simulation d'impact financier si situation financière problématique</v>
      </c>
      <c r="M42" s="79"/>
      <c r="N42" s="79"/>
      <c r="O42" s="79"/>
      <c r="P42" s="79"/>
      <c r="Q42" s="79"/>
      <c r="R42" s="79"/>
      <c r="S42" s="716"/>
      <c r="T42" s="716"/>
      <c r="U42" s="719">
        <f t="shared" si="0"/>
        <v>0</v>
      </c>
      <c r="V42" s="67">
        <f t="shared" si="1"/>
        <v>0</v>
      </c>
      <c r="W42" s="720"/>
      <c r="X42" s="721"/>
      <c r="Y42" s="716"/>
      <c r="Z42" s="716"/>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row>
    <row r="43" spans="2:61" s="10" customFormat="1" ht="15" customHeight="1" x14ac:dyDescent="0.35">
      <c r="B43" s="32" t="b">
        <v>0</v>
      </c>
      <c r="C43" s="714"/>
      <c r="D43" s="25"/>
      <c r="E43" s="2"/>
      <c r="F43" s="2"/>
      <c r="G43" s="2"/>
      <c r="H43" s="2"/>
      <c r="I43" s="2"/>
      <c r="J43" s="35"/>
      <c r="K43" s="87"/>
      <c r="L43" s="81" t="str">
        <f>IF(Pièce10=0,"- la Pièce 2.3. Tout autre document suceptible d'éclairer la situation"," ")</f>
        <v>- la Pièce 2.3. Tout autre document suceptible d'éclairer la situation</v>
      </c>
      <c r="M43" s="79"/>
      <c r="N43" s="79"/>
      <c r="O43" s="79"/>
      <c r="P43" s="79"/>
      <c r="Q43" s="79"/>
      <c r="R43" s="79"/>
      <c r="S43" s="716"/>
      <c r="T43" s="716"/>
      <c r="U43" s="719">
        <f t="shared" si="0"/>
        <v>0</v>
      </c>
      <c r="V43" s="67">
        <f t="shared" si="1"/>
        <v>0</v>
      </c>
      <c r="W43" s="720">
        <f>IF(inter="OUI",1,0)</f>
        <v>1</v>
      </c>
      <c r="X43" s="721"/>
      <c r="Y43" s="716"/>
      <c r="Z43" s="716"/>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row>
    <row r="44" spans="2:61" s="10" customFormat="1" ht="15" customHeight="1" x14ac:dyDescent="0.35">
      <c r="B44" s="32"/>
      <c r="C44" s="25"/>
      <c r="D44" s="25"/>
      <c r="E44" s="2"/>
      <c r="F44" s="2"/>
      <c r="G44" s="2"/>
      <c r="H44" s="2"/>
      <c r="I44" s="2"/>
      <c r="J44" s="35"/>
      <c r="K44" s="87"/>
      <c r="L44" s="81" t="str">
        <f>IF(AND(Pièce12=0,W44=1),"- la pièce 12. la simulation d'impact financier"," ")</f>
        <v xml:space="preserve"> </v>
      </c>
      <c r="M44" s="79"/>
      <c r="N44" s="79"/>
      <c r="O44" s="79"/>
      <c r="P44" s="79"/>
      <c r="Q44" s="79"/>
      <c r="R44" s="79"/>
      <c r="S44" s="716"/>
      <c r="T44" s="716"/>
      <c r="U44" s="719">
        <f t="shared" si="0"/>
        <v>0</v>
      </c>
      <c r="V44" s="67">
        <f t="shared" si="1"/>
        <v>0</v>
      </c>
      <c r="W44" s="720"/>
      <c r="X44" s="721"/>
      <c r="Y44" s="716"/>
      <c r="Z44" s="716"/>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row>
    <row r="45" spans="2:61" s="10" customFormat="1" ht="15" customHeight="1" x14ac:dyDescent="0.35">
      <c r="B45" s="32"/>
      <c r="C45" s="25"/>
      <c r="D45" s="715"/>
      <c r="E45" s="2"/>
      <c r="F45" s="2"/>
      <c r="G45" s="2"/>
      <c r="H45" s="2"/>
      <c r="I45" s="2"/>
      <c r="J45" s="35"/>
      <c r="K45" s="87"/>
      <c r="L45" s="81" t="str">
        <f>IF(AND(Pièce13=0,W45=1),"- pièce 13. la plaquette pour diffusion"," ")</f>
        <v xml:space="preserve"> </v>
      </c>
      <c r="M45" s="79"/>
      <c r="N45" s="79"/>
      <c r="O45" s="79"/>
      <c r="P45" s="79"/>
      <c r="Q45" s="79"/>
      <c r="R45" s="79"/>
      <c r="S45" s="716"/>
      <c r="T45" s="716"/>
      <c r="U45" s="719">
        <f t="shared" si="0"/>
        <v>0</v>
      </c>
      <c r="V45" s="67">
        <f t="shared" si="1"/>
        <v>0</v>
      </c>
      <c r="W45" s="720">
        <f>IF('[1]Pièce 4. Plan de financement'!I50&gt;0,1,0)</f>
        <v>0</v>
      </c>
      <c r="X45" s="721"/>
      <c r="Y45" s="716"/>
      <c r="Z45" s="716"/>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row>
    <row r="46" spans="2:61" ht="15" customHeight="1" x14ac:dyDescent="0.35">
      <c r="B46" s="798" t="s">
        <v>54</v>
      </c>
      <c r="C46" s="799"/>
      <c r="D46" s="799"/>
      <c r="E46" s="799"/>
      <c r="F46" s="799"/>
      <c r="G46" s="800"/>
      <c r="H46" s="800"/>
      <c r="I46" s="800"/>
      <c r="J46" s="801"/>
      <c r="L46" s="43"/>
      <c r="M46" s="716"/>
      <c r="N46" s="716"/>
      <c r="O46" s="716"/>
      <c r="P46" s="716"/>
      <c r="Q46" s="716"/>
      <c r="R46" s="716"/>
      <c r="S46" s="716"/>
      <c r="T46" s="716"/>
      <c r="U46" s="722">
        <f>IF(B38=TRUE,1,0)</f>
        <v>0</v>
      </c>
      <c r="V46" s="723"/>
      <c r="W46" s="724"/>
      <c r="X46" s="725"/>
      <c r="Y46" s="716"/>
      <c r="Z46" s="716"/>
    </row>
    <row r="47" spans="2:61" ht="15" customHeight="1" x14ac:dyDescent="0.35">
      <c r="B47" s="809" t="str">
        <f>porteur</f>
        <v/>
      </c>
      <c r="C47" s="810"/>
      <c r="D47" s="810"/>
      <c r="E47" s="810"/>
      <c r="F47" s="811"/>
      <c r="G47" s="817" t="str">
        <f>service</f>
        <v>AR Hauts de France</v>
      </c>
      <c r="H47" s="818"/>
      <c r="I47" s="818"/>
      <c r="J47" s="819"/>
      <c r="L47" s="43"/>
      <c r="M47" s="716"/>
      <c r="N47" s="716"/>
      <c r="O47" s="716"/>
      <c r="P47" s="716"/>
      <c r="Q47" s="67"/>
      <c r="R47" s="67"/>
      <c r="S47" s="716"/>
      <c r="T47" s="716"/>
      <c r="U47" s="716"/>
      <c r="V47" s="716"/>
      <c r="W47" s="716"/>
      <c r="X47" s="716"/>
      <c r="Y47" s="716"/>
      <c r="Z47" s="716"/>
    </row>
    <row r="48" spans="2:61" ht="15" customHeight="1" x14ac:dyDescent="0.35">
      <c r="B48" s="776">
        <f>DG</f>
        <v>0</v>
      </c>
      <c r="C48" s="777"/>
      <c r="D48" s="777"/>
      <c r="E48" s="777"/>
      <c r="F48" s="778"/>
      <c r="G48" s="814">
        <f>IF(ISNA(VLOOKUP($E$24,instruteur,8,0))," ",(VLOOKUP($E$24,instruteur,8,0)))</f>
        <v>328160770</v>
      </c>
      <c r="H48" s="815"/>
      <c r="I48" s="815"/>
      <c r="J48" s="816"/>
      <c r="L48" s="43"/>
      <c r="M48" s="716"/>
      <c r="N48" s="716"/>
      <c r="O48" s="716"/>
      <c r="P48" s="716"/>
      <c r="Q48" s="67"/>
      <c r="R48" s="67"/>
      <c r="S48" s="716"/>
      <c r="T48" s="716"/>
      <c r="U48" s="716"/>
      <c r="V48" s="716"/>
      <c r="W48" s="716"/>
      <c r="X48" s="716"/>
      <c r="Y48" s="716"/>
      <c r="Z48" s="716"/>
    </row>
    <row r="49" spans="2:26" ht="61" customHeight="1" x14ac:dyDescent="0.35">
      <c r="B49" s="14"/>
      <c r="C49" s="12"/>
      <c r="F49" s="13"/>
      <c r="G49" s="148"/>
      <c r="H49" s="149"/>
      <c r="I49" s="149"/>
      <c r="J49" s="150"/>
      <c r="L49" s="43"/>
      <c r="M49" s="716"/>
      <c r="N49" s="716"/>
      <c r="O49" s="716"/>
      <c r="P49" s="716"/>
      <c r="Q49" s="716"/>
      <c r="R49" s="67"/>
      <c r="S49" s="716"/>
      <c r="T49" s="716"/>
      <c r="U49" s="716"/>
      <c r="V49" s="716"/>
      <c r="W49" s="716"/>
      <c r="X49" s="716"/>
      <c r="Y49" s="716"/>
      <c r="Z49" s="716"/>
    </row>
    <row r="50" spans="2:26" ht="15" customHeight="1" x14ac:dyDescent="0.35">
      <c r="B50" s="796">
        <f>date</f>
        <v>0</v>
      </c>
      <c r="C50" s="797"/>
      <c r="D50" s="15"/>
      <c r="E50" s="15"/>
      <c r="F50" s="16"/>
      <c r="G50" s="151">
        <f>date+7</f>
        <v>7</v>
      </c>
      <c r="H50" s="152"/>
      <c r="I50" s="152"/>
      <c r="J50" s="153"/>
      <c r="K50" s="71" t="s">
        <v>472</v>
      </c>
      <c r="L50" s="789" t="s">
        <v>487</v>
      </c>
      <c r="M50" s="790"/>
      <c r="N50" s="790"/>
      <c r="O50" s="790"/>
      <c r="P50" s="790"/>
      <c r="R50" s="67"/>
    </row>
    <row r="51" spans="2:26" x14ac:dyDescent="0.35">
      <c r="B51" s="7"/>
      <c r="C51" s="7"/>
      <c r="G51" s="149"/>
      <c r="H51" s="149"/>
      <c r="I51" s="149"/>
      <c r="J51" s="149"/>
      <c r="L51" s="789"/>
      <c r="M51" s="790"/>
      <c r="N51" s="790"/>
      <c r="O51" s="790"/>
      <c r="P51" s="790"/>
      <c r="R51" s="67"/>
    </row>
    <row r="52" spans="2:26" x14ac:dyDescent="0.35">
      <c r="G52" s="149"/>
      <c r="H52" s="149"/>
      <c r="I52" s="149"/>
      <c r="J52" s="149"/>
      <c r="L52" s="43"/>
      <c r="M52" s="42"/>
      <c r="N52" s="42"/>
      <c r="O52" s="42"/>
      <c r="R52" s="67"/>
    </row>
    <row r="53" spans="2:26" x14ac:dyDescent="0.35">
      <c r="B53" s="62" t="s">
        <v>486</v>
      </c>
      <c r="G53" s="149"/>
      <c r="H53" s="149"/>
      <c r="I53" s="149"/>
      <c r="J53" s="149"/>
      <c r="L53" s="43"/>
      <c r="M53" s="42"/>
      <c r="N53" s="42"/>
      <c r="O53" s="42"/>
      <c r="R53" s="67"/>
    </row>
    <row r="54" spans="2:26" x14ac:dyDescent="0.35">
      <c r="G54" s="149"/>
      <c r="H54" s="149"/>
      <c r="I54" s="149"/>
      <c r="J54" s="149"/>
      <c r="L54" s="43"/>
      <c r="M54" s="42"/>
      <c r="N54" s="42"/>
      <c r="O54" s="42"/>
      <c r="R54" s="67"/>
    </row>
    <row r="55" spans="2:26" x14ac:dyDescent="0.35">
      <c r="L55" s="43"/>
      <c r="M55" s="42"/>
      <c r="N55" s="42"/>
      <c r="O55" s="42"/>
    </row>
    <row r="56" spans="2:26" x14ac:dyDescent="0.35">
      <c r="L56" s="43"/>
      <c r="M56" s="42"/>
      <c r="N56" s="42"/>
      <c r="O56" s="42"/>
    </row>
    <row r="57" spans="2:26" x14ac:dyDescent="0.35">
      <c r="L57" s="43"/>
      <c r="M57" s="42"/>
      <c r="N57" s="42"/>
      <c r="O57" s="42"/>
    </row>
    <row r="58" spans="2:26" x14ac:dyDescent="0.35">
      <c r="L58" s="43"/>
      <c r="M58" s="42"/>
      <c r="N58" s="42"/>
      <c r="O58" s="42"/>
    </row>
    <row r="59" spans="2:26" x14ac:dyDescent="0.35">
      <c r="L59" s="43"/>
      <c r="M59" s="42"/>
      <c r="N59" s="42"/>
      <c r="O59" s="42"/>
    </row>
    <row r="60" spans="2:26" x14ac:dyDescent="0.35">
      <c r="L60" s="43"/>
      <c r="M60" s="42"/>
      <c r="N60" s="42"/>
      <c r="O60" s="42"/>
    </row>
    <row r="61" spans="2:26" x14ac:dyDescent="0.35">
      <c r="L61" s="43"/>
      <c r="M61" s="42"/>
      <c r="N61" s="42"/>
      <c r="O61" s="42"/>
    </row>
    <row r="62" spans="2:26" x14ac:dyDescent="0.35">
      <c r="L62" s="43"/>
      <c r="M62" s="42"/>
      <c r="N62" s="42"/>
      <c r="O62" s="42"/>
    </row>
    <row r="63" spans="2:26" x14ac:dyDescent="0.35">
      <c r="L63" s="43"/>
      <c r="M63" s="42"/>
      <c r="N63" s="42"/>
      <c r="O63" s="42"/>
    </row>
    <row r="64" spans="2:26" x14ac:dyDescent="0.35">
      <c r="L64" s="43"/>
      <c r="M64" s="42"/>
      <c r="N64" s="42"/>
      <c r="O64" s="42"/>
    </row>
    <row r="65" spans="12:15" x14ac:dyDescent="0.35">
      <c r="L65" s="43"/>
      <c r="M65" s="42"/>
      <c r="N65" s="42"/>
      <c r="O65" s="42"/>
    </row>
    <row r="66" spans="12:15" x14ac:dyDescent="0.35">
      <c r="L66" s="43"/>
      <c r="M66" s="42"/>
      <c r="N66" s="42"/>
      <c r="O66" s="42"/>
    </row>
    <row r="67" spans="12:15" x14ac:dyDescent="0.35">
      <c r="L67" s="43"/>
      <c r="M67" s="42"/>
      <c r="N67" s="42"/>
      <c r="O67" s="42"/>
    </row>
    <row r="68" spans="12:15" x14ac:dyDescent="0.35">
      <c r="L68" s="43"/>
      <c r="M68" s="42"/>
      <c r="N68" s="42"/>
      <c r="O68" s="42"/>
    </row>
    <row r="69" spans="12:15" x14ac:dyDescent="0.35">
      <c r="L69" s="43"/>
      <c r="M69" s="42"/>
      <c r="N69" s="42"/>
      <c r="O69" s="42"/>
    </row>
    <row r="70" spans="12:15" x14ac:dyDescent="0.35">
      <c r="L70" s="43"/>
      <c r="M70" s="42"/>
      <c r="N70" s="42"/>
      <c r="O70" s="42"/>
    </row>
    <row r="71" spans="12:15" x14ac:dyDescent="0.35">
      <c r="L71" s="43"/>
      <c r="M71" s="42"/>
      <c r="N71" s="42"/>
      <c r="O71" s="42"/>
    </row>
    <row r="72" spans="12:15" x14ac:dyDescent="0.35">
      <c r="L72" s="43"/>
      <c r="M72" s="42"/>
      <c r="N72" s="42"/>
      <c r="O72" s="42"/>
    </row>
    <row r="73" spans="12:15" x14ac:dyDescent="0.35">
      <c r="L73" s="43"/>
      <c r="M73" s="42"/>
      <c r="N73" s="42"/>
      <c r="O73" s="42"/>
    </row>
    <row r="74" spans="12:15" x14ac:dyDescent="0.35">
      <c r="L74" s="43"/>
      <c r="M74" s="42"/>
      <c r="N74" s="42"/>
      <c r="O74" s="42"/>
    </row>
    <row r="75" spans="12:15" x14ac:dyDescent="0.35">
      <c r="L75" s="43"/>
      <c r="M75" s="42"/>
      <c r="N75" s="42"/>
      <c r="O75" s="42"/>
    </row>
    <row r="76" spans="12:15" x14ac:dyDescent="0.35">
      <c r="L76" s="43"/>
      <c r="M76" s="42"/>
      <c r="N76" s="42"/>
      <c r="O76" s="42"/>
    </row>
    <row r="77" spans="12:15" x14ac:dyDescent="0.35">
      <c r="L77" s="43"/>
      <c r="M77" s="42"/>
      <c r="N77" s="42"/>
      <c r="O77" s="42"/>
    </row>
    <row r="78" spans="12:15" x14ac:dyDescent="0.35">
      <c r="L78" s="43"/>
      <c r="M78" s="42"/>
      <c r="N78" s="42"/>
      <c r="O78" s="42"/>
    </row>
    <row r="79" spans="12:15" x14ac:dyDescent="0.35">
      <c r="L79" s="43"/>
      <c r="M79" s="42"/>
      <c r="N79" s="42"/>
      <c r="O79" s="42"/>
    </row>
    <row r="80" spans="12:15" x14ac:dyDescent="0.35">
      <c r="L80" s="43"/>
      <c r="M80" s="42"/>
      <c r="N80" s="42"/>
      <c r="O80" s="42"/>
    </row>
    <row r="81" spans="12:15" x14ac:dyDescent="0.35">
      <c r="L81" s="43"/>
      <c r="M81" s="42"/>
      <c r="N81" s="42"/>
      <c r="O81" s="42"/>
    </row>
    <row r="82" spans="12:15" x14ac:dyDescent="0.35">
      <c r="L82" s="43"/>
      <c r="M82" s="42"/>
      <c r="N82" s="42"/>
      <c r="O82" s="42"/>
    </row>
    <row r="83" spans="12:15" x14ac:dyDescent="0.35">
      <c r="L83" s="43"/>
      <c r="M83" s="42"/>
      <c r="N83" s="42"/>
      <c r="O83" s="42"/>
    </row>
    <row r="84" spans="12:15" x14ac:dyDescent="0.35">
      <c r="L84" s="43"/>
      <c r="M84" s="42"/>
      <c r="N84" s="42"/>
      <c r="O84" s="42"/>
    </row>
    <row r="85" spans="12:15" x14ac:dyDescent="0.35">
      <c r="L85" s="43"/>
      <c r="M85" s="42"/>
      <c r="N85" s="42"/>
      <c r="O85" s="42"/>
    </row>
    <row r="86" spans="12:15" x14ac:dyDescent="0.35">
      <c r="L86" s="43"/>
      <c r="M86" s="42"/>
      <c r="N86" s="42"/>
      <c r="O86" s="42"/>
    </row>
    <row r="87" spans="12:15" x14ac:dyDescent="0.35">
      <c r="L87" s="43"/>
      <c r="M87" s="42"/>
      <c r="N87" s="42"/>
      <c r="O87" s="42"/>
    </row>
    <row r="88" spans="12:15" x14ac:dyDescent="0.35">
      <c r="L88" s="43"/>
      <c r="M88" s="42"/>
      <c r="N88" s="42"/>
      <c r="O88" s="42"/>
    </row>
    <row r="89" spans="12:15" x14ac:dyDescent="0.35">
      <c r="L89" s="43"/>
      <c r="M89" s="42"/>
      <c r="N89" s="42"/>
      <c r="O89" s="42"/>
    </row>
    <row r="90" spans="12:15" x14ac:dyDescent="0.35">
      <c r="L90" s="43"/>
      <c r="M90" s="42"/>
      <c r="N90" s="42"/>
      <c r="O90" s="42"/>
    </row>
    <row r="91" spans="12:15" x14ac:dyDescent="0.35">
      <c r="L91" s="43"/>
      <c r="M91" s="42"/>
      <c r="N91" s="42"/>
      <c r="O91" s="42"/>
    </row>
    <row r="92" spans="12:15" x14ac:dyDescent="0.35">
      <c r="L92" s="43"/>
      <c r="M92" s="42"/>
      <c r="N92" s="42"/>
      <c r="O92" s="42"/>
    </row>
    <row r="93" spans="12:15" x14ac:dyDescent="0.35">
      <c r="L93" s="43"/>
      <c r="M93" s="42"/>
      <c r="N93" s="42"/>
      <c r="O93" s="42"/>
    </row>
    <row r="94" spans="12:15" x14ac:dyDescent="0.35">
      <c r="L94" s="43"/>
      <c r="M94" s="42"/>
      <c r="N94" s="42"/>
      <c r="O94" s="42"/>
    </row>
    <row r="95" spans="12:15" x14ac:dyDescent="0.35">
      <c r="L95" s="43"/>
      <c r="M95" s="42"/>
      <c r="N95" s="42"/>
      <c r="O95" s="42"/>
    </row>
    <row r="96" spans="12:15" x14ac:dyDescent="0.35">
      <c r="L96" s="43"/>
      <c r="M96" s="42"/>
      <c r="N96" s="42"/>
      <c r="O96" s="42"/>
    </row>
    <row r="97" spans="12:15" x14ac:dyDescent="0.35">
      <c r="L97" s="43"/>
      <c r="M97" s="42"/>
      <c r="N97" s="42"/>
      <c r="O97" s="42"/>
    </row>
    <row r="98" spans="12:15" x14ac:dyDescent="0.35">
      <c r="L98" s="43"/>
      <c r="M98" s="42"/>
      <c r="N98" s="42"/>
      <c r="O98" s="42"/>
    </row>
    <row r="99" spans="12:15" x14ac:dyDescent="0.35">
      <c r="L99" s="43"/>
      <c r="M99" s="42"/>
      <c r="N99" s="42"/>
      <c r="O99" s="42"/>
    </row>
    <row r="100" spans="12:15" x14ac:dyDescent="0.35">
      <c r="L100" s="43"/>
      <c r="M100" s="42"/>
      <c r="N100" s="42"/>
      <c r="O100" s="42"/>
    </row>
    <row r="101" spans="12:15" x14ac:dyDescent="0.35">
      <c r="L101" s="43"/>
      <c r="M101" s="42"/>
      <c r="N101" s="42"/>
      <c r="O101" s="42"/>
    </row>
    <row r="102" spans="12:15" x14ac:dyDescent="0.35">
      <c r="L102" s="43"/>
      <c r="M102" s="42"/>
      <c r="N102" s="42"/>
      <c r="O102" s="42"/>
    </row>
    <row r="103" spans="12:15" x14ac:dyDescent="0.35">
      <c r="L103" s="43"/>
      <c r="M103" s="42"/>
      <c r="N103" s="42"/>
      <c r="O103" s="42"/>
    </row>
    <row r="104" spans="12:15" x14ac:dyDescent="0.35">
      <c r="L104" s="43"/>
      <c r="M104" s="42"/>
      <c r="N104" s="42"/>
      <c r="O104" s="42"/>
    </row>
    <row r="105" spans="12:15" x14ac:dyDescent="0.35">
      <c r="L105" s="43"/>
      <c r="M105" s="42"/>
      <c r="N105" s="42"/>
      <c r="O105" s="42"/>
    </row>
    <row r="106" spans="12:15" x14ac:dyDescent="0.35">
      <c r="L106" s="43"/>
      <c r="M106" s="42"/>
      <c r="N106" s="42"/>
      <c r="O106" s="42"/>
    </row>
    <row r="107" spans="12:15" x14ac:dyDescent="0.35">
      <c r="L107" s="43"/>
      <c r="M107" s="42"/>
      <c r="N107" s="42"/>
      <c r="O107" s="42"/>
    </row>
    <row r="108" spans="12:15" x14ac:dyDescent="0.35">
      <c r="L108" s="43"/>
      <c r="M108" s="42"/>
      <c r="N108" s="42"/>
      <c r="O108" s="42"/>
    </row>
    <row r="109" spans="12:15" x14ac:dyDescent="0.35">
      <c r="L109" s="43"/>
      <c r="M109" s="42"/>
      <c r="N109" s="42"/>
      <c r="O109" s="42"/>
    </row>
    <row r="110" spans="12:15" x14ac:dyDescent="0.35">
      <c r="L110" s="43"/>
      <c r="M110" s="42"/>
      <c r="N110" s="42"/>
      <c r="O110" s="42"/>
    </row>
    <row r="111" spans="12:15" x14ac:dyDescent="0.35">
      <c r="L111" s="43"/>
      <c r="M111" s="42"/>
      <c r="N111" s="42"/>
      <c r="O111" s="42"/>
    </row>
    <row r="112" spans="12:15" x14ac:dyDescent="0.35">
      <c r="L112" s="43"/>
      <c r="M112" s="42"/>
      <c r="N112" s="42"/>
      <c r="O112" s="42"/>
    </row>
    <row r="113" spans="12:15" x14ac:dyDescent="0.35">
      <c r="L113" s="43"/>
      <c r="M113" s="42"/>
      <c r="N113" s="42"/>
      <c r="O113" s="42"/>
    </row>
    <row r="114" spans="12:15" x14ac:dyDescent="0.35">
      <c r="L114" s="43"/>
      <c r="M114" s="42"/>
      <c r="N114" s="42"/>
      <c r="O114" s="42"/>
    </row>
    <row r="115" spans="12:15" x14ac:dyDescent="0.35">
      <c r="L115" s="43"/>
      <c r="M115" s="42"/>
      <c r="N115" s="42"/>
      <c r="O115" s="42"/>
    </row>
    <row r="116" spans="12:15" x14ac:dyDescent="0.35">
      <c r="L116" s="43"/>
      <c r="M116" s="42"/>
      <c r="N116" s="42"/>
      <c r="O116" s="42"/>
    </row>
    <row r="117" spans="12:15" x14ac:dyDescent="0.35">
      <c r="L117" s="43"/>
      <c r="M117" s="42"/>
      <c r="N117" s="42"/>
      <c r="O117" s="42"/>
    </row>
    <row r="118" spans="12:15" x14ac:dyDescent="0.35">
      <c r="L118" s="43"/>
      <c r="M118" s="42"/>
      <c r="N118" s="42"/>
      <c r="O118" s="42"/>
    </row>
    <row r="119" spans="12:15" x14ac:dyDescent="0.35">
      <c r="L119" s="43"/>
      <c r="M119" s="42"/>
      <c r="N119" s="42"/>
      <c r="O119" s="42"/>
    </row>
    <row r="120" spans="12:15" x14ac:dyDescent="0.35">
      <c r="L120" s="43"/>
      <c r="M120" s="42"/>
      <c r="N120" s="42"/>
      <c r="O120" s="42"/>
    </row>
    <row r="121" spans="12:15" x14ac:dyDescent="0.35">
      <c r="L121" s="43"/>
      <c r="M121" s="42"/>
      <c r="N121" s="42"/>
      <c r="O121" s="42"/>
    </row>
    <row r="122" spans="12:15" x14ac:dyDescent="0.35">
      <c r="L122" s="43"/>
      <c r="M122" s="42"/>
      <c r="N122" s="42"/>
      <c r="O122" s="42"/>
    </row>
    <row r="123" spans="12:15" x14ac:dyDescent="0.35">
      <c r="L123" s="43"/>
      <c r="M123" s="42"/>
      <c r="N123" s="42"/>
      <c r="O123" s="42"/>
    </row>
    <row r="124" spans="12:15" x14ac:dyDescent="0.35">
      <c r="L124" s="43"/>
      <c r="M124" s="42"/>
      <c r="N124" s="42"/>
      <c r="O124" s="42"/>
    </row>
    <row r="125" spans="12:15" x14ac:dyDescent="0.35">
      <c r="L125" s="43"/>
      <c r="M125" s="42"/>
      <c r="N125" s="42"/>
      <c r="O125" s="42"/>
    </row>
    <row r="126" spans="12:15" x14ac:dyDescent="0.35">
      <c r="L126" s="43"/>
      <c r="M126" s="42"/>
      <c r="N126" s="42"/>
      <c r="O126" s="42"/>
    </row>
    <row r="127" spans="12:15" x14ac:dyDescent="0.35">
      <c r="L127" s="43"/>
      <c r="M127" s="42"/>
      <c r="N127" s="42"/>
      <c r="O127" s="42"/>
    </row>
    <row r="128" spans="12:15" x14ac:dyDescent="0.35">
      <c r="L128" s="43"/>
      <c r="M128" s="42"/>
      <c r="N128" s="42"/>
      <c r="O128" s="42"/>
    </row>
    <row r="129" spans="12:15" x14ac:dyDescent="0.35">
      <c r="L129" s="43"/>
      <c r="M129" s="42"/>
      <c r="N129" s="42"/>
      <c r="O129" s="42"/>
    </row>
    <row r="130" spans="12:15" x14ac:dyDescent="0.35">
      <c r="L130" s="43"/>
      <c r="M130" s="42"/>
      <c r="N130" s="42"/>
      <c r="O130" s="42"/>
    </row>
    <row r="131" spans="12:15" x14ac:dyDescent="0.35">
      <c r="L131" s="43"/>
      <c r="M131" s="42"/>
      <c r="N131" s="42"/>
      <c r="O131" s="42"/>
    </row>
    <row r="132" spans="12:15" x14ac:dyDescent="0.35">
      <c r="L132" s="43"/>
      <c r="M132" s="42"/>
      <c r="N132" s="42"/>
      <c r="O132" s="42"/>
    </row>
    <row r="133" spans="12:15" x14ac:dyDescent="0.35">
      <c r="L133" s="43"/>
      <c r="M133" s="42"/>
      <c r="N133" s="42"/>
      <c r="O133" s="42"/>
    </row>
    <row r="134" spans="12:15" x14ac:dyDescent="0.35">
      <c r="L134" s="43"/>
      <c r="M134" s="42"/>
      <c r="N134" s="42"/>
      <c r="O134" s="42"/>
    </row>
    <row r="135" spans="12:15" x14ac:dyDescent="0.35">
      <c r="L135" s="43"/>
      <c r="M135" s="42"/>
      <c r="N135" s="42"/>
      <c r="O135" s="42"/>
    </row>
    <row r="136" spans="12:15" x14ac:dyDescent="0.35">
      <c r="L136" s="43"/>
      <c r="M136" s="42"/>
      <c r="N136" s="42"/>
      <c r="O136" s="42"/>
    </row>
    <row r="137" spans="12:15" x14ac:dyDescent="0.35">
      <c r="L137" s="43"/>
      <c r="M137" s="42"/>
      <c r="N137" s="42"/>
      <c r="O137" s="42"/>
    </row>
    <row r="138" spans="12:15" x14ac:dyDescent="0.35">
      <c r="L138" s="43"/>
      <c r="M138" s="42"/>
      <c r="N138" s="42"/>
      <c r="O138" s="42"/>
    </row>
    <row r="139" spans="12:15" x14ac:dyDescent="0.35">
      <c r="L139" s="43"/>
      <c r="M139" s="42"/>
      <c r="N139" s="42"/>
      <c r="O139" s="42"/>
    </row>
    <row r="140" spans="12:15" x14ac:dyDescent="0.35">
      <c r="L140" s="43"/>
      <c r="M140" s="42"/>
      <c r="N140" s="42"/>
      <c r="O140" s="42"/>
    </row>
    <row r="141" spans="12:15" x14ac:dyDescent="0.35">
      <c r="L141" s="43"/>
      <c r="M141" s="42"/>
      <c r="N141" s="42"/>
      <c r="O141" s="42"/>
    </row>
  </sheetData>
  <mergeCells count="46">
    <mergeCell ref="H8:J8"/>
    <mergeCell ref="E25:J25"/>
    <mergeCell ref="B2:J2"/>
    <mergeCell ref="B3:J3"/>
    <mergeCell ref="B4:J4"/>
    <mergeCell ref="B5:D5"/>
    <mergeCell ref="E5:J5"/>
    <mergeCell ref="B6:D6"/>
    <mergeCell ref="E6:J6"/>
    <mergeCell ref="E7:J7"/>
    <mergeCell ref="B7:D7"/>
    <mergeCell ref="B10:D10"/>
    <mergeCell ref="B14:D14"/>
    <mergeCell ref="H10:J10"/>
    <mergeCell ref="B12:J12"/>
    <mergeCell ref="E13:J13"/>
    <mergeCell ref="L11:S11"/>
    <mergeCell ref="G48:J48"/>
    <mergeCell ref="G47:J47"/>
    <mergeCell ref="B11:D11"/>
    <mergeCell ref="B25:D25"/>
    <mergeCell ref="B26:D26"/>
    <mergeCell ref="E28:F28"/>
    <mergeCell ref="E11:J11"/>
    <mergeCell ref="B24:D24"/>
    <mergeCell ref="B23:J23"/>
    <mergeCell ref="B22:D22"/>
    <mergeCell ref="E22:J22"/>
    <mergeCell ref="B20:D21"/>
    <mergeCell ref="L50:P51"/>
    <mergeCell ref="F27:H27"/>
    <mergeCell ref="E24:J24"/>
    <mergeCell ref="B50:C50"/>
    <mergeCell ref="B46:J46"/>
    <mergeCell ref="B31:J31"/>
    <mergeCell ref="E29:F29"/>
    <mergeCell ref="E30:F30"/>
    <mergeCell ref="B47:F47"/>
    <mergeCell ref="U38:X38"/>
    <mergeCell ref="U39:V39"/>
    <mergeCell ref="E20:J21"/>
    <mergeCell ref="B13:D13"/>
    <mergeCell ref="B48:F48"/>
    <mergeCell ref="H15:I15"/>
    <mergeCell ref="B15:D19"/>
    <mergeCell ref="E14:I14"/>
  </mergeCells>
  <conditionalFormatting sqref="C32">
    <cfRule type="expression" dxfId="8" priority="2">
      <formula>AND(Type="modernisation")</formula>
    </cfRule>
  </conditionalFormatting>
  <conditionalFormatting sqref="C40">
    <cfRule type="expression" dxfId="7" priority="11">
      <formula>AND(aide&gt;23000)</formula>
    </cfRule>
  </conditionalFormatting>
  <conditionalFormatting sqref="C41">
    <cfRule type="expression" dxfId="6" priority="1">
      <formula>AND(Salaire1&gt;0)</formula>
    </cfRule>
  </conditionalFormatting>
  <conditionalFormatting sqref="C43">
    <cfRule type="expression" dxfId="5" priority="9">
      <formula>AND(inter="OUI")</formula>
    </cfRule>
  </conditionalFormatting>
  <printOptions horizontalCentered="1" verticalCentered="1"/>
  <pageMargins left="0.19685039370078741" right="0.19685039370078741" top="0.39370078740157483" bottom="0.19685039370078741" header="0" footer="0"/>
  <pageSetup paperSize="9"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1</xdr:col>
                    <xdr:colOff>38100</xdr:colOff>
                    <xdr:row>32</xdr:row>
                    <xdr:rowOff>0</xdr:rowOff>
                  </from>
                  <to>
                    <xdr:col>2</xdr:col>
                    <xdr:colOff>31750</xdr:colOff>
                    <xdr:row>32</xdr:row>
                    <xdr:rowOff>184150</xdr:rowOff>
                  </to>
                </anchor>
              </controlPr>
            </control>
          </mc:Choice>
        </mc:AlternateContent>
        <mc:AlternateContent xmlns:mc="http://schemas.openxmlformats.org/markup-compatibility/2006">
          <mc:Choice Requires="x14">
            <control shapeId="2069" r:id="rId5" name="Check Box 21">
              <controlPr defaultSize="0" autoFill="0" autoLine="0" autoPict="0">
                <anchor moveWithCells="1">
                  <from>
                    <xdr:col>1</xdr:col>
                    <xdr:colOff>38100</xdr:colOff>
                    <xdr:row>33</xdr:row>
                    <xdr:rowOff>12700</xdr:rowOff>
                  </from>
                  <to>
                    <xdr:col>2</xdr:col>
                    <xdr:colOff>31750</xdr:colOff>
                    <xdr:row>34</xdr:row>
                    <xdr:rowOff>0</xdr:rowOff>
                  </to>
                </anchor>
              </controlPr>
            </control>
          </mc:Choice>
        </mc:AlternateContent>
        <mc:AlternateContent xmlns:mc="http://schemas.openxmlformats.org/markup-compatibility/2006">
          <mc:Choice Requires="x14">
            <control shapeId="2070" r:id="rId6" name="Check Box 22">
              <controlPr defaultSize="0" autoFill="0" autoLine="0" autoPict="0">
                <anchor moveWithCells="1">
                  <from>
                    <xdr:col>1</xdr:col>
                    <xdr:colOff>38100</xdr:colOff>
                    <xdr:row>34</xdr:row>
                    <xdr:rowOff>12700</xdr:rowOff>
                  </from>
                  <to>
                    <xdr:col>2</xdr:col>
                    <xdr:colOff>31750</xdr:colOff>
                    <xdr:row>35</xdr:row>
                    <xdr:rowOff>0</xdr:rowOff>
                  </to>
                </anchor>
              </controlPr>
            </control>
          </mc:Choice>
        </mc:AlternateContent>
        <mc:AlternateContent xmlns:mc="http://schemas.openxmlformats.org/markup-compatibility/2006">
          <mc:Choice Requires="x14">
            <control shapeId="2071" r:id="rId7" name="Check Box 23">
              <controlPr defaultSize="0" autoFill="0" autoLine="0" autoPict="0">
                <anchor moveWithCells="1">
                  <from>
                    <xdr:col>1</xdr:col>
                    <xdr:colOff>38100</xdr:colOff>
                    <xdr:row>35</xdr:row>
                    <xdr:rowOff>31750</xdr:rowOff>
                  </from>
                  <to>
                    <xdr:col>2</xdr:col>
                    <xdr:colOff>31750</xdr:colOff>
                    <xdr:row>36</xdr:row>
                    <xdr:rowOff>12700</xdr:rowOff>
                  </to>
                </anchor>
              </controlPr>
            </control>
          </mc:Choice>
        </mc:AlternateContent>
        <mc:AlternateContent xmlns:mc="http://schemas.openxmlformats.org/markup-compatibility/2006">
          <mc:Choice Requires="x14">
            <control shapeId="2072" r:id="rId8" name="Check Box 24">
              <controlPr defaultSize="0" autoFill="0" autoLine="0" autoPict="0">
                <anchor moveWithCells="1">
                  <from>
                    <xdr:col>1</xdr:col>
                    <xdr:colOff>38100</xdr:colOff>
                    <xdr:row>36</xdr:row>
                    <xdr:rowOff>31750</xdr:rowOff>
                  </from>
                  <to>
                    <xdr:col>2</xdr:col>
                    <xdr:colOff>31750</xdr:colOff>
                    <xdr:row>37</xdr:row>
                    <xdr:rowOff>31750</xdr:rowOff>
                  </to>
                </anchor>
              </controlPr>
            </control>
          </mc:Choice>
        </mc:AlternateContent>
        <mc:AlternateContent xmlns:mc="http://schemas.openxmlformats.org/markup-compatibility/2006">
          <mc:Choice Requires="x14">
            <control shapeId="2077" r:id="rId9" name="Check Box 29">
              <controlPr defaultSize="0" autoFill="0" autoLine="0" autoPict="0">
                <anchor moveWithCells="1">
                  <from>
                    <xdr:col>1</xdr:col>
                    <xdr:colOff>38100</xdr:colOff>
                    <xdr:row>39</xdr:row>
                    <xdr:rowOff>31750</xdr:rowOff>
                  </from>
                  <to>
                    <xdr:col>2</xdr:col>
                    <xdr:colOff>31750</xdr:colOff>
                    <xdr:row>40</xdr:row>
                    <xdr:rowOff>31750</xdr:rowOff>
                  </to>
                </anchor>
              </controlPr>
            </control>
          </mc:Choice>
        </mc:AlternateContent>
        <mc:AlternateContent xmlns:mc="http://schemas.openxmlformats.org/markup-compatibility/2006">
          <mc:Choice Requires="x14">
            <control shapeId="2078" r:id="rId10" name="Check Box 30">
              <controlPr defaultSize="0" autoFill="0" autoLine="0" autoPict="0">
                <anchor moveWithCells="1">
                  <from>
                    <xdr:col>1</xdr:col>
                    <xdr:colOff>38100</xdr:colOff>
                    <xdr:row>40</xdr:row>
                    <xdr:rowOff>31750</xdr:rowOff>
                  </from>
                  <to>
                    <xdr:col>2</xdr:col>
                    <xdr:colOff>31750</xdr:colOff>
                    <xdr:row>41</xdr:row>
                    <xdr:rowOff>12700</xdr:rowOff>
                  </to>
                </anchor>
              </controlPr>
            </control>
          </mc:Choice>
        </mc:AlternateContent>
        <mc:AlternateContent xmlns:mc="http://schemas.openxmlformats.org/markup-compatibility/2006">
          <mc:Choice Requires="x14">
            <control shapeId="2079" r:id="rId11" name="Check Box 31">
              <controlPr defaultSize="0" autoFill="0" autoLine="0" autoPict="0">
                <anchor moveWithCells="1">
                  <from>
                    <xdr:col>1</xdr:col>
                    <xdr:colOff>38100</xdr:colOff>
                    <xdr:row>41</xdr:row>
                    <xdr:rowOff>12700</xdr:rowOff>
                  </from>
                  <to>
                    <xdr:col>2</xdr:col>
                    <xdr:colOff>31750</xdr:colOff>
                    <xdr:row>42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0" id="{6AEE5558-8FD2-4168-9EC3-37336252CE06}">
            <xm:f>AND('Plan de financement'!$I$50&gt;0)</xm:f>
            <x14:dxf>
              <font>
                <b/>
                <i val="0"/>
                <color theme="3" tint="0.39994506668294322"/>
              </font>
            </x14:dxf>
          </x14:cfRule>
          <xm:sqref>C45</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95E4736A-DA39-48CE-B4C1-2636F55BF59E}">
          <x14:formula1>
            <xm:f>Paramètres!$B$23:$B$43</xm:f>
          </x14:formula1>
          <xm:sqref>E24:J24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14034-E9C4-4307-89CF-D28ED5A8848B}">
  <sheetPr codeName="Feuil5">
    <tabColor rgb="FFFFFF99"/>
    <pageSetUpPr fitToPage="1"/>
  </sheetPr>
  <dimension ref="A1:Z43"/>
  <sheetViews>
    <sheetView showZeros="0" zoomScale="75" zoomScaleNormal="75" workbookViewId="0">
      <selection activeCell="E13" sqref="E13"/>
    </sheetView>
  </sheetViews>
  <sheetFormatPr baseColWidth="10" defaultColWidth="10.81640625" defaultRowHeight="14.5" x14ac:dyDescent="0.35"/>
  <cols>
    <col min="1" max="1" width="6.54296875" style="263" customWidth="1"/>
    <col min="2" max="4" width="18.54296875" style="258" customWidth="1"/>
    <col min="5" max="5" width="18.54296875" style="271" customWidth="1"/>
    <col min="6" max="6" width="18.54296875" style="272" customWidth="1"/>
    <col min="7" max="7" width="6.453125" style="273" customWidth="1"/>
    <col min="8" max="8" width="18.54296875" style="258" customWidth="1"/>
    <col min="9" max="9" width="21.54296875" style="258" customWidth="1"/>
    <col min="10" max="10" width="3.54296875" style="268" customWidth="1"/>
    <col min="11" max="11" width="15.54296875" style="313" customWidth="1"/>
    <col min="12" max="15" width="10.81640625" style="276"/>
    <col min="16" max="26" width="10.81640625" style="262"/>
    <col min="27" max="16384" width="10.81640625" style="258"/>
  </cols>
  <sheetData>
    <row r="1" spans="1:19" ht="27" customHeight="1" x14ac:dyDescent="0.5">
      <c r="A1" s="257"/>
      <c r="B1" s="291" t="s">
        <v>417</v>
      </c>
      <c r="C1" s="292">
        <f>date</f>
        <v>0</v>
      </c>
      <c r="D1" s="293"/>
      <c r="E1" s="294" t="s">
        <v>418</v>
      </c>
      <c r="F1" s="295"/>
      <c r="G1" s="296"/>
      <c r="H1" s="297" t="str">
        <f>Type</f>
        <v>INNOVATION</v>
      </c>
      <c r="J1" s="311" t="s">
        <v>441</v>
      </c>
      <c r="K1" s="312"/>
      <c r="L1" s="259"/>
      <c r="M1" s="259"/>
      <c r="N1" s="259"/>
      <c r="O1" s="260"/>
      <c r="P1" s="261"/>
      <c r="Q1" s="261"/>
      <c r="R1" s="261"/>
      <c r="S1" s="261"/>
    </row>
    <row r="2" spans="1:19" x14ac:dyDescent="0.35">
      <c r="B2" s="264"/>
      <c r="D2" s="264"/>
      <c r="E2" s="265"/>
      <c r="F2" s="266"/>
      <c r="G2" s="267"/>
      <c r="K2" s="309" t="s">
        <v>591</v>
      </c>
      <c r="L2" s="270"/>
      <c r="M2" s="270"/>
      <c r="N2" s="270"/>
      <c r="O2" s="270"/>
    </row>
    <row r="3" spans="1:19" x14ac:dyDescent="0.35">
      <c r="K3" s="319"/>
      <c r="L3" s="274"/>
      <c r="M3" s="270"/>
      <c r="N3" s="270"/>
      <c r="O3" s="270"/>
    </row>
    <row r="4" spans="1:19" x14ac:dyDescent="0.35">
      <c r="B4" s="298" t="s">
        <v>414</v>
      </c>
      <c r="C4" s="298"/>
      <c r="D4" s="298"/>
      <c r="E4" s="298" t="s">
        <v>65</v>
      </c>
      <c r="F4" s="304" t="s">
        <v>415</v>
      </c>
      <c r="G4" s="305" t="s">
        <v>527</v>
      </c>
      <c r="K4" s="865" t="s">
        <v>499</v>
      </c>
      <c r="L4" s="865"/>
      <c r="M4" s="865"/>
      <c r="N4" s="865"/>
      <c r="O4" s="865"/>
    </row>
    <row r="5" spans="1:19" x14ac:dyDescent="0.35">
      <c r="A5" s="263">
        <v>1</v>
      </c>
      <c r="B5" s="299" t="str">
        <f>IF(porteur=0," ",porteur)</f>
        <v/>
      </c>
      <c r="C5" s="300"/>
      <c r="D5" s="301"/>
      <c r="E5" s="302" t="str">
        <f>IF(Famille=0," ",Famille)</f>
        <v>Dérouler le menu</v>
      </c>
      <c r="F5" s="391"/>
      <c r="G5" s="387" t="str">
        <f>IF(ISERROR(F5/$F$29)," ",(F5/$F$29))</f>
        <v xml:space="preserve"> </v>
      </c>
      <c r="H5" s="306" t="s">
        <v>416</v>
      </c>
      <c r="K5" s="865"/>
      <c r="L5" s="865"/>
      <c r="M5" s="865"/>
      <c r="N5" s="865"/>
      <c r="O5" s="865"/>
    </row>
    <row r="6" spans="1:19" x14ac:dyDescent="0.35">
      <c r="A6" s="263">
        <v>2</v>
      </c>
      <c r="B6" s="388"/>
      <c r="C6" s="389"/>
      <c r="D6" s="390"/>
      <c r="E6" s="303" t="s">
        <v>64</v>
      </c>
      <c r="F6" s="391"/>
      <c r="G6" s="387" t="str">
        <f>IF(ISERROR(F6/$F$29)," ",(F6/$F$29))</f>
        <v xml:space="preserve"> </v>
      </c>
      <c r="K6" s="319"/>
      <c r="L6" s="274"/>
      <c r="M6" s="275"/>
    </row>
    <row r="7" spans="1:19" x14ac:dyDescent="0.35">
      <c r="A7" s="263">
        <v>3</v>
      </c>
      <c r="B7" s="388"/>
      <c r="C7" s="389"/>
      <c r="D7" s="390"/>
      <c r="E7" s="303" t="s">
        <v>64</v>
      </c>
      <c r="F7" s="391"/>
      <c r="G7" s="387" t="str">
        <f t="shared" ref="G7:G28" si="0">IF(ISERROR(F7/$F$29)," ",(F7/$F$29))</f>
        <v xml:space="preserve"> </v>
      </c>
      <c r="K7" s="319"/>
      <c r="L7" s="274"/>
    </row>
    <row r="8" spans="1:19" x14ac:dyDescent="0.35">
      <c r="A8" s="263">
        <v>4</v>
      </c>
      <c r="B8" s="388"/>
      <c r="C8" s="389"/>
      <c r="D8" s="390"/>
      <c r="E8" s="303" t="s">
        <v>64</v>
      </c>
      <c r="F8" s="391"/>
      <c r="G8" s="387" t="str">
        <f t="shared" si="0"/>
        <v xml:space="preserve"> </v>
      </c>
      <c r="J8" s="277"/>
      <c r="K8" s="309" t="s">
        <v>410</v>
      </c>
      <c r="L8" s="274"/>
      <c r="M8" s="278"/>
      <c r="N8" s="278"/>
      <c r="O8" s="278"/>
    </row>
    <row r="9" spans="1:19" x14ac:dyDescent="0.35">
      <c r="A9" s="263">
        <v>5</v>
      </c>
      <c r="B9" s="388"/>
      <c r="C9" s="389"/>
      <c r="D9" s="390"/>
      <c r="E9" s="303" t="s">
        <v>64</v>
      </c>
      <c r="F9" s="391"/>
      <c r="G9" s="387" t="str">
        <f t="shared" si="0"/>
        <v xml:space="preserve"> </v>
      </c>
      <c r="J9" s="277"/>
      <c r="K9" s="307" t="s">
        <v>398</v>
      </c>
      <c r="L9" s="310" t="s">
        <v>588</v>
      </c>
      <c r="M9" s="280"/>
      <c r="N9" s="280"/>
      <c r="O9" s="280"/>
    </row>
    <row r="10" spans="1:19" x14ac:dyDescent="0.35">
      <c r="A10" s="263">
        <v>6</v>
      </c>
      <c r="B10" s="388"/>
      <c r="C10" s="389"/>
      <c r="D10" s="390"/>
      <c r="E10" s="303" t="s">
        <v>64</v>
      </c>
      <c r="F10" s="391"/>
      <c r="G10" s="387" t="str">
        <f t="shared" si="0"/>
        <v xml:space="preserve"> </v>
      </c>
      <c r="J10" s="281"/>
      <c r="K10" s="308" t="s">
        <v>399</v>
      </c>
      <c r="L10" s="310" t="s">
        <v>590</v>
      </c>
      <c r="M10" s="274"/>
      <c r="N10" s="274"/>
      <c r="O10" s="274"/>
    </row>
    <row r="11" spans="1:19" x14ac:dyDescent="0.35">
      <c r="A11" s="263">
        <v>7</v>
      </c>
      <c r="B11" s="388"/>
      <c r="C11" s="389"/>
      <c r="D11" s="390"/>
      <c r="E11" s="303" t="s">
        <v>64</v>
      </c>
      <c r="F11" s="391"/>
      <c r="G11" s="387" t="str">
        <f t="shared" si="0"/>
        <v xml:space="preserve"> </v>
      </c>
      <c r="J11" s="281"/>
      <c r="K11" s="315"/>
      <c r="L11" s="46"/>
      <c r="M11" s="46"/>
      <c r="N11" s="274"/>
      <c r="O11" s="274"/>
    </row>
    <row r="12" spans="1:19" x14ac:dyDescent="0.35">
      <c r="A12" s="263">
        <v>8</v>
      </c>
      <c r="B12" s="388"/>
      <c r="C12" s="389"/>
      <c r="D12" s="390"/>
      <c r="E12" s="303" t="s">
        <v>64</v>
      </c>
      <c r="F12" s="391"/>
      <c r="G12" s="387" t="str">
        <f t="shared" si="0"/>
        <v xml:space="preserve"> </v>
      </c>
      <c r="J12" s="282"/>
      <c r="K12" s="315"/>
      <c r="L12" s="46"/>
      <c r="M12" s="46"/>
      <c r="N12" s="46"/>
      <c r="O12" s="46"/>
    </row>
    <row r="13" spans="1:19" ht="15" customHeight="1" x14ac:dyDescent="0.35">
      <c r="A13" s="263">
        <v>9</v>
      </c>
      <c r="B13" s="388"/>
      <c r="C13" s="389"/>
      <c r="D13" s="390"/>
      <c r="E13" s="303" t="s">
        <v>64</v>
      </c>
      <c r="F13" s="391"/>
      <c r="G13" s="387" t="str">
        <f t="shared" si="0"/>
        <v xml:space="preserve"> </v>
      </c>
      <c r="J13" s="282"/>
      <c r="K13" s="315"/>
      <c r="L13" s="46"/>
      <c r="M13" s="46"/>
      <c r="N13" s="46"/>
      <c r="O13" s="46"/>
    </row>
    <row r="14" spans="1:19" x14ac:dyDescent="0.35">
      <c r="A14" s="263">
        <v>10</v>
      </c>
      <c r="B14" s="388"/>
      <c r="C14" s="389"/>
      <c r="D14" s="390"/>
      <c r="E14" s="303" t="s">
        <v>64</v>
      </c>
      <c r="F14" s="391"/>
      <c r="G14" s="387" t="str">
        <f t="shared" si="0"/>
        <v xml:space="preserve"> </v>
      </c>
      <c r="J14" s="282"/>
      <c r="K14" s="309" t="s">
        <v>493</v>
      </c>
      <c r="L14" s="46"/>
      <c r="M14" s="46"/>
      <c r="N14" s="46"/>
      <c r="O14" s="46"/>
    </row>
    <row r="15" spans="1:19" ht="15" customHeight="1" x14ac:dyDescent="0.35">
      <c r="A15" s="263">
        <v>11</v>
      </c>
      <c r="B15" s="388"/>
      <c r="C15" s="389"/>
      <c r="D15" s="392"/>
      <c r="E15" s="303" t="s">
        <v>64</v>
      </c>
      <c r="F15" s="391"/>
      <c r="G15" s="387" t="str">
        <f t="shared" si="0"/>
        <v xml:space="preserve"> </v>
      </c>
      <c r="J15" s="282"/>
      <c r="K15" s="315"/>
      <c r="L15" s="283"/>
      <c r="M15" s="283"/>
      <c r="N15" s="283"/>
      <c r="O15" s="283"/>
    </row>
    <row r="16" spans="1:19" ht="14.9" customHeight="1" x14ac:dyDescent="0.35">
      <c r="A16" s="263">
        <v>12</v>
      </c>
      <c r="B16" s="388"/>
      <c r="C16" s="389"/>
      <c r="D16" s="392"/>
      <c r="E16" s="303" t="s">
        <v>64</v>
      </c>
      <c r="F16" s="391"/>
      <c r="G16" s="387" t="str">
        <f t="shared" si="0"/>
        <v xml:space="preserve"> </v>
      </c>
      <c r="J16" s="45"/>
      <c r="K16" s="315"/>
      <c r="L16" s="284"/>
      <c r="M16" s="284"/>
      <c r="N16" s="284"/>
      <c r="O16" s="284"/>
    </row>
    <row r="17" spans="1:15" ht="14.9" customHeight="1" x14ac:dyDescent="0.35">
      <c r="A17" s="263">
        <v>13</v>
      </c>
      <c r="B17" s="388"/>
      <c r="C17" s="389"/>
      <c r="D17" s="392"/>
      <c r="E17" s="303" t="s">
        <v>64</v>
      </c>
      <c r="F17" s="391"/>
      <c r="G17" s="387" t="str">
        <f t="shared" si="0"/>
        <v xml:space="preserve"> </v>
      </c>
      <c r="J17" s="45"/>
      <c r="K17" s="315"/>
      <c r="L17" s="284"/>
      <c r="M17" s="284"/>
      <c r="N17" s="284"/>
      <c r="O17" s="284"/>
    </row>
    <row r="18" spans="1:15" ht="14.9" customHeight="1" x14ac:dyDescent="0.35">
      <c r="A18" s="263">
        <v>14</v>
      </c>
      <c r="B18" s="388"/>
      <c r="C18" s="389"/>
      <c r="D18" s="392"/>
      <c r="E18" s="303" t="s">
        <v>64</v>
      </c>
      <c r="F18" s="391"/>
      <c r="G18" s="387" t="str">
        <f t="shared" si="0"/>
        <v xml:space="preserve"> </v>
      </c>
      <c r="J18" s="45"/>
      <c r="K18" s="315"/>
      <c r="L18" s="284"/>
      <c r="M18" s="284"/>
      <c r="N18" s="284"/>
      <c r="O18" s="284"/>
    </row>
    <row r="19" spans="1:15" ht="14.9" customHeight="1" x14ac:dyDescent="0.35">
      <c r="A19" s="263">
        <v>15</v>
      </c>
      <c r="B19" s="388"/>
      <c r="C19" s="389"/>
      <c r="D19" s="392"/>
      <c r="E19" s="303" t="s">
        <v>64</v>
      </c>
      <c r="F19" s="391"/>
      <c r="G19" s="387" t="str">
        <f t="shared" si="0"/>
        <v xml:space="preserve"> </v>
      </c>
      <c r="J19" s="45"/>
      <c r="K19" s="315"/>
      <c r="L19" s="284"/>
      <c r="M19" s="284"/>
      <c r="N19" s="284"/>
      <c r="O19" s="284"/>
    </row>
    <row r="20" spans="1:15" ht="14.9" customHeight="1" x14ac:dyDescent="0.35">
      <c r="A20" s="263">
        <v>16</v>
      </c>
      <c r="B20" s="388"/>
      <c r="C20" s="389"/>
      <c r="D20" s="392"/>
      <c r="E20" s="303" t="s">
        <v>64</v>
      </c>
      <c r="F20" s="391"/>
      <c r="G20" s="387" t="str">
        <f t="shared" si="0"/>
        <v xml:space="preserve"> </v>
      </c>
      <c r="J20" s="45"/>
      <c r="L20" s="284"/>
      <c r="M20" s="284"/>
      <c r="N20" s="284"/>
      <c r="O20" s="284"/>
    </row>
    <row r="21" spans="1:15" ht="14.9" customHeight="1" x14ac:dyDescent="0.35">
      <c r="A21" s="263">
        <v>17</v>
      </c>
      <c r="B21" s="388"/>
      <c r="C21" s="389"/>
      <c r="D21" s="392"/>
      <c r="E21" s="303" t="s">
        <v>64</v>
      </c>
      <c r="F21" s="391"/>
      <c r="G21" s="387" t="str">
        <f t="shared" si="0"/>
        <v xml:space="preserve"> </v>
      </c>
      <c r="J21" s="45"/>
      <c r="K21" s="320"/>
      <c r="L21" s="284"/>
      <c r="M21" s="284"/>
      <c r="N21" s="284"/>
      <c r="O21" s="284"/>
    </row>
    <row r="22" spans="1:15" ht="14.9" customHeight="1" x14ac:dyDescent="0.35">
      <c r="A22" s="263">
        <v>18</v>
      </c>
      <c r="B22" s="388"/>
      <c r="C22" s="389"/>
      <c r="D22" s="392"/>
      <c r="E22" s="303" t="s">
        <v>64</v>
      </c>
      <c r="F22" s="391"/>
      <c r="G22" s="387" t="str">
        <f t="shared" si="0"/>
        <v xml:space="preserve"> </v>
      </c>
      <c r="J22" s="45"/>
      <c r="K22" s="320"/>
      <c r="L22" s="284"/>
      <c r="M22" s="284"/>
      <c r="N22" s="284"/>
      <c r="O22" s="284"/>
    </row>
    <row r="23" spans="1:15" ht="14.9" customHeight="1" x14ac:dyDescent="0.35">
      <c r="A23" s="263">
        <v>19</v>
      </c>
      <c r="B23" s="388"/>
      <c r="C23" s="389"/>
      <c r="D23" s="392"/>
      <c r="E23" s="303" t="s">
        <v>64</v>
      </c>
      <c r="F23" s="391"/>
      <c r="G23" s="387" t="str">
        <f t="shared" si="0"/>
        <v xml:space="preserve"> </v>
      </c>
      <c r="J23" s="45"/>
      <c r="K23" s="319"/>
      <c r="L23" s="284"/>
      <c r="M23" s="284"/>
      <c r="N23" s="284"/>
      <c r="O23" s="284"/>
    </row>
    <row r="24" spans="1:15" ht="14.9" customHeight="1" x14ac:dyDescent="0.35">
      <c r="A24" s="263">
        <v>20</v>
      </c>
      <c r="B24" s="388"/>
      <c r="C24" s="389"/>
      <c r="D24" s="392"/>
      <c r="E24" s="303" t="s">
        <v>64</v>
      </c>
      <c r="F24" s="391"/>
      <c r="G24" s="387" t="str">
        <f t="shared" si="0"/>
        <v xml:space="preserve"> </v>
      </c>
      <c r="J24" s="45"/>
      <c r="K24" s="314"/>
      <c r="L24" s="284"/>
      <c r="M24" s="284"/>
      <c r="N24" s="284"/>
      <c r="O24" s="284"/>
    </row>
    <row r="25" spans="1:15" ht="14.9" customHeight="1" x14ac:dyDescent="0.35">
      <c r="A25" s="263">
        <v>21</v>
      </c>
      <c r="B25" s="388"/>
      <c r="C25" s="389"/>
      <c r="D25" s="392"/>
      <c r="E25" s="303" t="s">
        <v>64</v>
      </c>
      <c r="F25" s="391"/>
      <c r="G25" s="387" t="str">
        <f t="shared" si="0"/>
        <v xml:space="preserve"> </v>
      </c>
      <c r="J25" s="45"/>
      <c r="K25" s="314"/>
      <c r="L25" s="284"/>
      <c r="M25" s="284"/>
      <c r="N25" s="284"/>
      <c r="O25" s="284"/>
    </row>
    <row r="26" spans="1:15" ht="14.9" customHeight="1" x14ac:dyDescent="0.35">
      <c r="A26" s="263">
        <v>22</v>
      </c>
      <c r="B26" s="388"/>
      <c r="C26" s="389"/>
      <c r="D26" s="392"/>
      <c r="E26" s="303" t="s">
        <v>64</v>
      </c>
      <c r="F26" s="391"/>
      <c r="G26" s="387" t="str">
        <f t="shared" si="0"/>
        <v xml:space="preserve"> </v>
      </c>
      <c r="J26" s="45"/>
      <c r="K26" s="314"/>
      <c r="L26" s="284"/>
      <c r="M26" s="284"/>
      <c r="N26" s="284"/>
      <c r="O26" s="284"/>
    </row>
    <row r="27" spans="1:15" ht="14.9" customHeight="1" x14ac:dyDescent="0.35">
      <c r="A27" s="263">
        <v>23</v>
      </c>
      <c r="B27" s="388"/>
      <c r="C27" s="389"/>
      <c r="D27" s="392"/>
      <c r="E27" s="303" t="s">
        <v>64</v>
      </c>
      <c r="F27" s="391"/>
      <c r="G27" s="387" t="str">
        <f t="shared" si="0"/>
        <v xml:space="preserve"> </v>
      </c>
      <c r="J27" s="45"/>
      <c r="K27" s="314"/>
      <c r="L27" s="284"/>
      <c r="M27" s="284"/>
      <c r="N27" s="284"/>
      <c r="O27" s="284"/>
    </row>
    <row r="28" spans="1:15" ht="14.9" customHeight="1" x14ac:dyDescent="0.35">
      <c r="A28" s="263">
        <v>24</v>
      </c>
      <c r="B28" s="388"/>
      <c r="C28" s="389"/>
      <c r="D28" s="392"/>
      <c r="E28" s="303" t="s">
        <v>64</v>
      </c>
      <c r="F28" s="391"/>
      <c r="G28" s="387" t="str">
        <f t="shared" si="0"/>
        <v xml:space="preserve"> </v>
      </c>
      <c r="J28" s="45"/>
      <c r="K28" s="314"/>
      <c r="L28" s="284"/>
      <c r="M28" s="284"/>
      <c r="N28" s="284"/>
      <c r="O28" s="284"/>
    </row>
    <row r="29" spans="1:15" ht="21" customHeight="1" x14ac:dyDescent="0.35">
      <c r="B29" s="393" t="str">
        <f>CONCATENATE((COUNTA(B5:B28))," organismes")</f>
        <v>1 organismes</v>
      </c>
      <c r="C29" s="393"/>
      <c r="D29" s="393"/>
      <c r="E29" s="393"/>
      <c r="F29" s="394">
        <f>SUM(F5:F28)</f>
        <v>0</v>
      </c>
      <c r="G29" s="395"/>
      <c r="J29" s="45"/>
      <c r="K29" s="314"/>
      <c r="L29" s="284"/>
      <c r="M29" s="284"/>
      <c r="N29" s="284"/>
      <c r="O29" s="284"/>
    </row>
    <row r="30" spans="1:15" x14ac:dyDescent="0.35">
      <c r="J30" s="45"/>
      <c r="K30" s="314"/>
      <c r="L30" s="284"/>
      <c r="M30" s="284"/>
      <c r="N30" s="284"/>
      <c r="O30" s="284"/>
    </row>
    <row r="31" spans="1:15" x14ac:dyDescent="0.35">
      <c r="J31" s="45"/>
      <c r="K31" s="314"/>
      <c r="L31" s="284"/>
      <c r="M31" s="284"/>
      <c r="N31" s="284"/>
      <c r="O31" s="284"/>
    </row>
    <row r="32" spans="1:15" x14ac:dyDescent="0.35">
      <c r="J32" s="45"/>
      <c r="K32" s="315"/>
      <c r="L32" s="46"/>
      <c r="M32" s="46"/>
      <c r="N32" s="46"/>
      <c r="O32" s="46"/>
    </row>
    <row r="33" spans="2:15" x14ac:dyDescent="0.35">
      <c r="B33" s="285" t="s">
        <v>486</v>
      </c>
      <c r="J33" s="45"/>
      <c r="K33" s="315"/>
      <c r="L33" s="46"/>
      <c r="M33" s="46"/>
      <c r="N33" s="46"/>
      <c r="O33" s="46"/>
    </row>
    <row r="34" spans="2:15" x14ac:dyDescent="0.35">
      <c r="J34" s="45"/>
      <c r="K34" s="315"/>
      <c r="L34" s="46"/>
      <c r="M34" s="46"/>
      <c r="N34" s="46"/>
      <c r="O34" s="46"/>
    </row>
    <row r="35" spans="2:15" x14ac:dyDescent="0.35">
      <c r="J35" s="286"/>
      <c r="K35" s="316"/>
      <c r="L35" s="287"/>
      <c r="M35" s="287"/>
      <c r="N35" s="287"/>
      <c r="O35" s="287"/>
    </row>
    <row r="36" spans="2:15" x14ac:dyDescent="0.35">
      <c r="J36" s="288"/>
      <c r="K36" s="309"/>
      <c r="L36" s="269"/>
      <c r="M36" s="269"/>
      <c r="N36" s="269"/>
      <c r="O36" s="269"/>
    </row>
    <row r="37" spans="2:15" x14ac:dyDescent="0.35">
      <c r="J37" s="288"/>
      <c r="K37" s="309"/>
      <c r="L37" s="269"/>
      <c r="M37" s="269"/>
      <c r="N37" s="269"/>
      <c r="O37" s="269"/>
    </row>
    <row r="38" spans="2:15" x14ac:dyDescent="0.35">
      <c r="J38" s="288"/>
      <c r="K38" s="309"/>
      <c r="L38" s="269"/>
      <c r="M38" s="269"/>
      <c r="N38" s="269"/>
      <c r="O38" s="269"/>
    </row>
    <row r="39" spans="2:15" x14ac:dyDescent="0.35">
      <c r="J39" s="288"/>
      <c r="K39" s="309"/>
      <c r="L39" s="269"/>
      <c r="M39" s="269"/>
      <c r="N39" s="269"/>
      <c r="O39" s="269"/>
    </row>
    <row r="40" spans="2:15" x14ac:dyDescent="0.35">
      <c r="J40" s="289"/>
      <c r="K40" s="317"/>
      <c r="L40" s="290"/>
      <c r="M40" s="290"/>
      <c r="N40" s="290"/>
      <c r="O40" s="290"/>
    </row>
    <row r="41" spans="2:15" x14ac:dyDescent="0.35">
      <c r="J41" s="288"/>
      <c r="K41" s="309"/>
      <c r="L41" s="269"/>
      <c r="M41" s="269"/>
      <c r="N41" s="269"/>
      <c r="O41" s="269"/>
    </row>
    <row r="42" spans="2:15" x14ac:dyDescent="0.35">
      <c r="J42" s="288"/>
      <c r="K42" s="309"/>
      <c r="L42" s="269"/>
      <c r="M42" s="269"/>
      <c r="N42" s="269"/>
      <c r="O42" s="269"/>
    </row>
    <row r="43" spans="2:15" x14ac:dyDescent="0.35">
      <c r="J43" s="288"/>
      <c r="K43" s="309"/>
      <c r="L43" s="269"/>
      <c r="M43" s="269"/>
      <c r="N43" s="269"/>
      <c r="O43" s="269"/>
    </row>
  </sheetData>
  <mergeCells count="1">
    <mergeCell ref="K4:O5"/>
  </mergeCells>
  <pageMargins left="0.39370078740157483" right="0.39370078740157483" top="0.78740157480314965" bottom="0.78740157480314965" header="0.31496062992125984" footer="0.31496062992125984"/>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Title="Dérouler le menu" xr:uid="{2B30E67D-9C95-4EC0-BA97-3D9585FCCA55}">
          <x14:formula1>
            <xm:f>Paramètres!$B$15:$B$20</xm:f>
          </x14:formula1>
          <xm:sqref>E6:E28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3CDB0-35B8-46E2-BF3C-B2F4C2F56AE1}">
  <sheetPr codeName="Feuil7">
    <tabColor theme="5" tint="-0.249977111117893"/>
    <pageSetUpPr fitToPage="1"/>
  </sheetPr>
  <dimension ref="A1:AB57"/>
  <sheetViews>
    <sheetView showZeros="0" zoomScale="75" zoomScaleNormal="75" workbookViewId="0">
      <selection activeCell="B35" sqref="B35"/>
    </sheetView>
  </sheetViews>
  <sheetFormatPr baseColWidth="10" defaultColWidth="10.81640625" defaultRowHeight="14.5" x14ac:dyDescent="0.35"/>
  <cols>
    <col min="1" max="1" width="6.54296875" style="58" customWidth="1"/>
    <col min="2" max="2" width="21.81640625" style="342" customWidth="1"/>
    <col min="3" max="3" width="5.453125" style="342" customWidth="1"/>
    <col min="4" max="4" width="90.54296875" style="342" customWidth="1"/>
    <col min="5" max="5" width="21.54296875" style="83" customWidth="1"/>
    <col min="6" max="6" width="5.81640625" style="331" customWidth="1"/>
    <col min="7" max="7" width="10.81640625" style="337"/>
    <col min="8" max="9" width="10.81640625" style="68"/>
    <col min="10" max="28" width="10.81640625" style="66"/>
    <col min="29" max="16384" width="10.81640625" style="2"/>
  </cols>
  <sheetData>
    <row r="1" spans="1:11" ht="15.5" x14ac:dyDescent="0.35">
      <c r="B1" s="350"/>
      <c r="D1" s="351"/>
      <c r="F1" s="324" t="s">
        <v>501</v>
      </c>
      <c r="G1" s="318"/>
      <c r="H1" s="1"/>
      <c r="I1" s="1"/>
      <c r="J1" s="1"/>
      <c r="K1" s="69"/>
    </row>
    <row r="2" spans="1:11" x14ac:dyDescent="0.35">
      <c r="A2" s="60"/>
      <c r="B2" s="352" t="s">
        <v>455</v>
      </c>
      <c r="D2" s="351"/>
      <c r="E2" s="84" t="s">
        <v>472</v>
      </c>
      <c r="F2" s="325"/>
      <c r="G2" s="335" t="s">
        <v>473</v>
      </c>
      <c r="H2" s="76"/>
      <c r="I2" s="76"/>
      <c r="J2" s="76"/>
      <c r="K2" s="76"/>
    </row>
    <row r="3" spans="1:11" x14ac:dyDescent="0.35">
      <c r="B3" s="350"/>
      <c r="D3" s="351"/>
      <c r="F3" s="326"/>
      <c r="G3" s="335"/>
      <c r="H3" s="76"/>
      <c r="I3" s="76"/>
      <c r="J3" s="76"/>
      <c r="K3" s="76"/>
    </row>
    <row r="4" spans="1:11" ht="14.5" customHeight="1" x14ac:dyDescent="0.35">
      <c r="B4" s="350"/>
      <c r="D4" s="351"/>
      <c r="F4" s="327"/>
      <c r="G4" s="866" t="s">
        <v>505</v>
      </c>
      <c r="H4" s="866"/>
      <c r="I4" s="866"/>
      <c r="J4" s="866"/>
      <c r="K4" s="866"/>
    </row>
    <row r="5" spans="1:11" x14ac:dyDescent="0.35">
      <c r="B5" s="350"/>
      <c r="D5" s="351"/>
      <c r="F5" s="327"/>
      <c r="G5" s="866"/>
      <c r="H5" s="866"/>
      <c r="I5" s="866"/>
      <c r="J5" s="866"/>
      <c r="K5" s="866"/>
    </row>
    <row r="6" spans="1:11" ht="14.5" customHeight="1" x14ac:dyDescent="0.35">
      <c r="B6" s="350"/>
      <c r="D6" s="351"/>
      <c r="F6" s="328"/>
      <c r="G6" s="870" t="s">
        <v>485</v>
      </c>
      <c r="H6" s="870"/>
      <c r="I6" s="870"/>
      <c r="J6" s="870"/>
      <c r="K6" s="870"/>
    </row>
    <row r="7" spans="1:11" x14ac:dyDescent="0.35">
      <c r="B7" s="350"/>
      <c r="D7" s="351"/>
      <c r="F7" s="328"/>
      <c r="G7" s="336"/>
      <c r="H7" s="82"/>
      <c r="I7" s="82"/>
      <c r="J7" s="82"/>
      <c r="K7" s="82"/>
    </row>
    <row r="8" spans="1:11" ht="77.150000000000006" customHeight="1" x14ac:dyDescent="0.8">
      <c r="B8" s="353" t="s">
        <v>452</v>
      </c>
      <c r="C8" s="343"/>
      <c r="D8" s="351"/>
      <c r="F8" s="329"/>
      <c r="G8" s="866" t="s">
        <v>500</v>
      </c>
      <c r="H8" s="866"/>
      <c r="I8" s="866"/>
      <c r="J8" s="866"/>
      <c r="K8" s="866"/>
    </row>
    <row r="9" spans="1:11" x14ac:dyDescent="0.35">
      <c r="B9" s="354" t="s">
        <v>453</v>
      </c>
      <c r="C9" s="344"/>
      <c r="D9" s="351"/>
      <c r="F9" s="868"/>
      <c r="G9" s="869"/>
      <c r="H9" s="869"/>
      <c r="I9" s="869"/>
      <c r="J9" s="869"/>
    </row>
    <row r="10" spans="1:11" ht="14.5" customHeight="1" x14ac:dyDescent="0.35">
      <c r="B10" s="354" t="s">
        <v>454</v>
      </c>
      <c r="C10" s="344"/>
      <c r="D10" s="351"/>
      <c r="F10" s="330"/>
      <c r="G10" s="867"/>
      <c r="H10" s="867"/>
      <c r="I10" s="867"/>
      <c r="J10" s="867"/>
      <c r="K10" s="867"/>
    </row>
    <row r="11" spans="1:11" x14ac:dyDescent="0.35">
      <c r="B11" s="350"/>
      <c r="D11" s="351"/>
      <c r="F11" s="330"/>
      <c r="G11" s="867"/>
      <c r="H11" s="867"/>
      <c r="I11" s="867"/>
      <c r="J11" s="867"/>
      <c r="K11" s="867"/>
    </row>
    <row r="12" spans="1:11" ht="15.5" x14ac:dyDescent="0.35">
      <c r="B12" s="355" t="s">
        <v>483</v>
      </c>
      <c r="C12" s="345"/>
      <c r="D12" s="351"/>
    </row>
    <row r="13" spans="1:11" x14ac:dyDescent="0.35">
      <c r="A13" s="61"/>
      <c r="B13" s="350" t="s">
        <v>456</v>
      </c>
      <c r="C13" s="873" t="str">
        <f>IF(Projet=0," ",Projet)</f>
        <v xml:space="preserve"> </v>
      </c>
      <c r="D13" s="874"/>
      <c r="E13" s="85"/>
      <c r="F13" s="332" t="s">
        <v>474</v>
      </c>
    </row>
    <row r="14" spans="1:11" x14ac:dyDescent="0.35">
      <c r="A14" s="61"/>
      <c r="B14" s="350" t="s">
        <v>457</v>
      </c>
      <c r="C14" s="873" t="str">
        <f>inter</f>
        <v>OUI</v>
      </c>
      <c r="D14" s="874"/>
      <c r="E14" s="85"/>
      <c r="F14" s="332" t="s">
        <v>474</v>
      </c>
    </row>
    <row r="15" spans="1:11" x14ac:dyDescent="0.35">
      <c r="A15" s="61"/>
      <c r="B15" s="350" t="s">
        <v>147</v>
      </c>
      <c r="C15" s="880" t="str">
        <f>IF(durée=0," ",durée)</f>
        <v xml:space="preserve"> </v>
      </c>
      <c r="D15" s="881"/>
      <c r="E15" s="85"/>
      <c r="F15" s="332" t="s">
        <v>474</v>
      </c>
    </row>
    <row r="16" spans="1:11" x14ac:dyDescent="0.35">
      <c r="A16" s="61"/>
      <c r="B16" s="350" t="s">
        <v>407</v>
      </c>
      <c r="C16" s="882" t="str">
        <f>IF(description=0," ",description)</f>
        <v xml:space="preserve"> </v>
      </c>
      <c r="D16" s="883"/>
      <c r="E16" s="85"/>
      <c r="F16" s="332" t="s">
        <v>474</v>
      </c>
    </row>
    <row r="17" spans="1:6" x14ac:dyDescent="0.35">
      <c r="B17" s="350"/>
      <c r="C17" s="882"/>
      <c r="D17" s="883"/>
      <c r="F17" s="333"/>
    </row>
    <row r="18" spans="1:6" ht="14.9" hidden="1" customHeight="1" x14ac:dyDescent="0.35">
      <c r="B18" s="350"/>
      <c r="C18" s="882"/>
      <c r="D18" s="883"/>
      <c r="F18" s="333"/>
    </row>
    <row r="19" spans="1:6" ht="14.9" hidden="1" customHeight="1" x14ac:dyDescent="0.35">
      <c r="B19" s="350"/>
      <c r="C19" s="882"/>
      <c r="D19" s="883"/>
      <c r="F19" s="333"/>
    </row>
    <row r="20" spans="1:6" ht="14.9" hidden="1" customHeight="1" x14ac:dyDescent="0.35">
      <c r="B20" s="350"/>
      <c r="C20" s="882"/>
      <c r="D20" s="883"/>
      <c r="F20" s="333"/>
    </row>
    <row r="21" spans="1:6" ht="14.9" hidden="1" customHeight="1" x14ac:dyDescent="0.35">
      <c r="B21" s="350"/>
      <c r="C21" s="882"/>
      <c r="D21" s="883"/>
      <c r="F21" s="333"/>
    </row>
    <row r="22" spans="1:6" ht="14.9" hidden="1" customHeight="1" x14ac:dyDescent="0.35">
      <c r="B22" s="350"/>
      <c r="C22" s="882"/>
      <c r="D22" s="883"/>
      <c r="F22" s="333"/>
    </row>
    <row r="23" spans="1:6" ht="14.9" hidden="1" customHeight="1" x14ac:dyDescent="0.35">
      <c r="B23" s="350"/>
      <c r="C23" s="882"/>
      <c r="D23" s="883"/>
      <c r="F23" s="333"/>
    </row>
    <row r="24" spans="1:6" ht="15" customHeight="1" x14ac:dyDescent="0.35">
      <c r="B24" s="350"/>
      <c r="C24" s="882"/>
      <c r="D24" s="883"/>
      <c r="F24" s="333"/>
    </row>
    <row r="25" spans="1:6" x14ac:dyDescent="0.35">
      <c r="A25" s="61"/>
      <c r="B25" s="350" t="s">
        <v>458</v>
      </c>
      <c r="C25" s="341" t="e">
        <f>prestataires</f>
        <v>#REF!</v>
      </c>
      <c r="D25" s="356"/>
      <c r="E25" s="85"/>
      <c r="F25" s="332" t="s">
        <v>474</v>
      </c>
    </row>
    <row r="26" spans="1:6" x14ac:dyDescent="0.35">
      <c r="A26" s="61"/>
      <c r="B26" s="350" t="s">
        <v>459</v>
      </c>
      <c r="C26" s="884">
        <f>IF(dépense=0," ",dépense)</f>
        <v>460</v>
      </c>
      <c r="D26" s="885"/>
      <c r="E26" s="85"/>
      <c r="F26" s="332" t="s">
        <v>474</v>
      </c>
    </row>
    <row r="27" spans="1:6" x14ac:dyDescent="0.35">
      <c r="A27" s="61"/>
      <c r="B27" s="350" t="s">
        <v>174</v>
      </c>
      <c r="C27" s="886">
        <f>IF(aide=0," ",aide)</f>
        <v>276</v>
      </c>
      <c r="D27" s="887"/>
      <c r="E27" s="85"/>
      <c r="F27" s="332" t="s">
        <v>474</v>
      </c>
    </row>
    <row r="28" spans="1:6" x14ac:dyDescent="0.35">
      <c r="B28" s="350"/>
      <c r="D28" s="351"/>
      <c r="F28" s="333"/>
    </row>
    <row r="29" spans="1:6" ht="15.5" x14ac:dyDescent="0.35">
      <c r="B29" s="355" t="s">
        <v>484</v>
      </c>
      <c r="C29" s="345"/>
      <c r="D29" s="351"/>
      <c r="F29" s="333"/>
    </row>
    <row r="30" spans="1:6" x14ac:dyDescent="0.35">
      <c r="A30" s="61"/>
      <c r="B30" s="357" t="s">
        <v>72</v>
      </c>
      <c r="C30" s="871" t="str">
        <f>IF(porteur=0," ",porteur)</f>
        <v/>
      </c>
      <c r="D30" s="872"/>
      <c r="E30"/>
      <c r="F30" s="332" t="s">
        <v>474</v>
      </c>
    </row>
    <row r="31" spans="1:6" x14ac:dyDescent="0.35">
      <c r="A31" s="61"/>
      <c r="B31" s="357" t="s">
        <v>460</v>
      </c>
      <c r="C31" s="871" t="str">
        <f>IF(SIRET=0," ",SIRET)</f>
        <v/>
      </c>
      <c r="D31" s="872"/>
      <c r="E31"/>
      <c r="F31" s="332" t="s">
        <v>474</v>
      </c>
    </row>
    <row r="32" spans="1:6" x14ac:dyDescent="0.35">
      <c r="A32" s="61"/>
      <c r="B32" s="357" t="s">
        <v>40</v>
      </c>
      <c r="C32" s="871" t="str">
        <f>IF(Resp=0," ",Resp)</f>
        <v xml:space="preserve"> </v>
      </c>
      <c r="D32" s="872"/>
      <c r="E32"/>
      <c r="F32" s="332" t="s">
        <v>474</v>
      </c>
    </row>
    <row r="33" spans="1:10" x14ac:dyDescent="0.35">
      <c r="B33" s="357"/>
      <c r="C33"/>
      <c r="D33" s="358"/>
      <c r="E33"/>
      <c r="F33" s="333"/>
    </row>
    <row r="34" spans="1:10" ht="15.5" x14ac:dyDescent="0.35">
      <c r="B34" s="355" t="s">
        <v>471</v>
      </c>
      <c r="C34" s="346"/>
      <c r="D34" s="356"/>
    </row>
    <row r="35" spans="1:10" x14ac:dyDescent="0.35">
      <c r="A35" s="61"/>
      <c r="B35" s="357" t="s">
        <v>461</v>
      </c>
      <c r="C35" s="873" t="str">
        <f>IF(ISNA(VLOOKUP(dpt,région,5))," ",VLOOKUP(dpt,région,5))</f>
        <v xml:space="preserve"> </v>
      </c>
      <c r="D35" s="874"/>
      <c r="E35" s="85"/>
      <c r="F35" s="332" t="s">
        <v>474</v>
      </c>
    </row>
    <row r="36" spans="1:10" x14ac:dyDescent="0.35">
      <c r="A36" s="60"/>
      <c r="B36" s="357" t="s">
        <v>462</v>
      </c>
      <c r="C36" s="875"/>
      <c r="D36" s="876"/>
      <c r="E36" s="84" t="s">
        <v>472</v>
      </c>
      <c r="F36" s="326" t="s">
        <v>475</v>
      </c>
      <c r="G36" s="335"/>
      <c r="H36" s="76"/>
      <c r="I36" s="76"/>
      <c r="J36" s="76"/>
    </row>
    <row r="37" spans="1:10" x14ac:dyDescent="0.35">
      <c r="B37" s="357"/>
      <c r="C37" s="347"/>
      <c r="D37" s="351"/>
      <c r="F37" s="326"/>
      <c r="G37" s="335"/>
      <c r="H37" s="76"/>
      <c r="I37" s="76"/>
      <c r="J37" s="76"/>
    </row>
    <row r="38" spans="1:10" x14ac:dyDescent="0.35">
      <c r="A38" s="60"/>
      <c r="B38" s="357" t="s">
        <v>463</v>
      </c>
      <c r="C38" s="347" t="b">
        <v>1</v>
      </c>
      <c r="D38" s="351" t="s">
        <v>465</v>
      </c>
      <c r="E38" s="84" t="s">
        <v>472</v>
      </c>
      <c r="F38" s="326" t="s">
        <v>476</v>
      </c>
      <c r="G38" s="335"/>
      <c r="H38" s="76"/>
      <c r="I38" s="76"/>
      <c r="J38" s="76"/>
    </row>
    <row r="39" spans="1:10" x14ac:dyDescent="0.35">
      <c r="B39" s="357"/>
      <c r="C39" s="347" t="b">
        <v>0</v>
      </c>
      <c r="D39" s="351" t="s">
        <v>466</v>
      </c>
      <c r="F39" s="326"/>
      <c r="G39" s="335"/>
      <c r="H39" s="76"/>
      <c r="I39" s="76"/>
      <c r="J39" s="76"/>
    </row>
    <row r="40" spans="1:10" ht="15.5" x14ac:dyDescent="0.35">
      <c r="B40" s="355" t="s">
        <v>464</v>
      </c>
      <c r="C40" s="347"/>
      <c r="D40" s="351"/>
      <c r="F40" s="326"/>
      <c r="G40" s="335"/>
      <c r="H40" s="76"/>
      <c r="I40" s="76"/>
      <c r="J40" s="76"/>
    </row>
    <row r="41" spans="1:10" x14ac:dyDescent="0.35">
      <c r="A41" s="60"/>
      <c r="B41" s="877"/>
      <c r="C41" s="878"/>
      <c r="D41" s="879"/>
      <c r="E41" s="84" t="s">
        <v>472</v>
      </c>
      <c r="F41" s="326" t="s">
        <v>477</v>
      </c>
      <c r="G41" s="335"/>
      <c r="H41" s="76"/>
      <c r="I41" s="76"/>
      <c r="J41" s="76"/>
    </row>
    <row r="42" spans="1:10" x14ac:dyDescent="0.35">
      <c r="B42" s="877"/>
      <c r="C42" s="878"/>
      <c r="D42" s="879"/>
      <c r="F42" s="326"/>
      <c r="G42" s="335"/>
      <c r="H42" s="76"/>
      <c r="I42" s="76"/>
      <c r="J42" s="76"/>
    </row>
    <row r="43" spans="1:10" x14ac:dyDescent="0.35">
      <c r="B43" s="877"/>
      <c r="C43" s="878"/>
      <c r="D43" s="879"/>
      <c r="F43" s="326"/>
      <c r="G43" s="335"/>
      <c r="H43" s="76"/>
      <c r="I43" s="76"/>
      <c r="J43" s="76"/>
    </row>
    <row r="44" spans="1:10" x14ac:dyDescent="0.35">
      <c r="B44" s="877"/>
      <c r="C44" s="878"/>
      <c r="D44" s="879"/>
      <c r="F44" s="326"/>
      <c r="G44" s="335"/>
      <c r="H44" s="76"/>
      <c r="I44" s="76"/>
      <c r="J44" s="76"/>
    </row>
    <row r="45" spans="1:10" x14ac:dyDescent="0.35">
      <c r="A45" s="60"/>
      <c r="B45" s="359"/>
      <c r="D45" s="356"/>
      <c r="E45" s="84"/>
      <c r="F45" s="326"/>
      <c r="G45" s="335"/>
      <c r="H45" s="76"/>
      <c r="I45" s="76"/>
      <c r="J45" s="76"/>
    </row>
    <row r="46" spans="1:10" x14ac:dyDescent="0.35">
      <c r="A46" s="60"/>
      <c r="B46" s="350" t="s">
        <v>55</v>
      </c>
      <c r="D46" s="360">
        <f>date+10</f>
        <v>10</v>
      </c>
      <c r="E46" s="84" t="s">
        <v>472</v>
      </c>
      <c r="F46" s="326" t="s">
        <v>481</v>
      </c>
      <c r="G46" s="335"/>
      <c r="H46" s="76"/>
      <c r="I46" s="76"/>
      <c r="J46" s="76"/>
    </row>
    <row r="47" spans="1:10" ht="15" customHeight="1" x14ac:dyDescent="0.35">
      <c r="B47" s="350"/>
      <c r="D47" s="351"/>
      <c r="F47" s="334" t="s">
        <v>488</v>
      </c>
      <c r="G47" s="338"/>
      <c r="H47" s="89"/>
      <c r="I47" s="89"/>
      <c r="J47" s="89"/>
    </row>
    <row r="48" spans="1:10" x14ac:dyDescent="0.35">
      <c r="A48" s="60"/>
      <c r="B48" s="361" t="s">
        <v>467</v>
      </c>
      <c r="D48" s="356" t="str">
        <f>IF(C36=0," ",C36)</f>
        <v xml:space="preserve"> </v>
      </c>
      <c r="E48" s="84" t="s">
        <v>472</v>
      </c>
      <c r="F48" s="326" t="s">
        <v>478</v>
      </c>
      <c r="G48" s="335"/>
      <c r="H48" s="76"/>
      <c r="I48" s="76"/>
      <c r="J48" s="76"/>
    </row>
    <row r="49" spans="1:10" x14ac:dyDescent="0.35">
      <c r="B49" s="350"/>
      <c r="D49" s="351"/>
      <c r="F49" s="326"/>
      <c r="G49" s="335"/>
      <c r="H49" s="76"/>
      <c r="I49" s="76"/>
      <c r="J49" s="76"/>
    </row>
    <row r="50" spans="1:10" x14ac:dyDescent="0.35">
      <c r="A50" s="60"/>
      <c r="B50" s="350"/>
      <c r="D50" s="351"/>
      <c r="E50" s="84" t="s">
        <v>479</v>
      </c>
      <c r="F50" s="326" t="s">
        <v>480</v>
      </c>
      <c r="G50" s="335"/>
      <c r="H50" s="76"/>
      <c r="I50" s="76"/>
      <c r="J50" s="76"/>
    </row>
    <row r="51" spans="1:10" x14ac:dyDescent="0.35">
      <c r="B51" s="350"/>
      <c r="D51" s="351"/>
    </row>
    <row r="52" spans="1:10" x14ac:dyDescent="0.35">
      <c r="B52" s="350"/>
      <c r="D52" s="351"/>
    </row>
    <row r="53" spans="1:10" x14ac:dyDescent="0.35">
      <c r="A53" s="62"/>
      <c r="B53" s="362"/>
      <c r="C53" s="348"/>
      <c r="D53" s="363"/>
    </row>
    <row r="57" spans="1:10" x14ac:dyDescent="0.35">
      <c r="B57" s="349" t="s">
        <v>486</v>
      </c>
    </row>
  </sheetData>
  <mergeCells count="17">
    <mergeCell ref="C15:D15"/>
    <mergeCell ref="C14:D14"/>
    <mergeCell ref="C13:D13"/>
    <mergeCell ref="C16:D24"/>
    <mergeCell ref="C30:D30"/>
    <mergeCell ref="C26:D26"/>
    <mergeCell ref="C27:D27"/>
    <mergeCell ref="C31:D31"/>
    <mergeCell ref="C32:D32"/>
    <mergeCell ref="C35:D35"/>
    <mergeCell ref="C36:D36"/>
    <mergeCell ref="B41:D44"/>
    <mergeCell ref="G4:K5"/>
    <mergeCell ref="G10:K11"/>
    <mergeCell ref="G8:K8"/>
    <mergeCell ref="F9:J9"/>
    <mergeCell ref="G6:K6"/>
  </mergeCells>
  <conditionalFormatting sqref="D38">
    <cfRule type="expression" dxfId="2" priority="3">
      <formula>AND(favorable&gt;0)</formula>
    </cfRule>
    <cfRule type="expression" dxfId="1" priority="4">
      <formula>AND(B38=TRUE)</formula>
    </cfRule>
  </conditionalFormatting>
  <printOptions horizontalCentered="1" verticalCentered="1"/>
  <pageMargins left="0.39370078740157483" right="0.39370078740157483" top="0.59055118110236227" bottom="0.39370078740157483" header="0.39370078740157483" footer="0.39370078740157483"/>
  <pageSetup paperSize="9"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2</xdr:col>
                    <xdr:colOff>31750</xdr:colOff>
                    <xdr:row>36</xdr:row>
                    <xdr:rowOff>146050</xdr:rowOff>
                  </from>
                  <to>
                    <xdr:col>2</xdr:col>
                    <xdr:colOff>279400</xdr:colOff>
                    <xdr:row>38</xdr:row>
                    <xdr:rowOff>50800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31750</xdr:colOff>
                    <xdr:row>37</xdr:row>
                    <xdr:rowOff>146050</xdr:rowOff>
                  </from>
                  <to>
                    <xdr:col>2</xdr:col>
                    <xdr:colOff>279400</xdr:colOff>
                    <xdr:row>39</xdr:row>
                    <xdr:rowOff>69850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5521E466-02B1-4B1F-B4EA-BB0A5DDC1B56}">
            <xm:f>AND(Paramètres!$C$102&gt;0)</xm:f>
            <x14:dxf>
              <font>
                <b/>
                <i val="0"/>
                <color theme="3" tint="0.39994506668294322"/>
              </font>
            </x14:dxf>
          </x14:cfRule>
          <xm:sqref>D38</xm:sqref>
        </x14:conditionalFormatting>
        <x14:conditionalFormatting xmlns:xm="http://schemas.microsoft.com/office/excel/2006/main">
          <x14:cfRule type="expression" priority="1" id="{BF62E546-03AC-49DA-B41E-15AD43C0CEBE}">
            <xm:f>AND(Paramètres!$C$103&gt;0)</xm:f>
            <x14:dxf>
              <font>
                <b/>
                <i val="0"/>
                <color rgb="FFC00000"/>
              </font>
            </x14:dxf>
          </x14:cfRule>
          <xm:sqref>D39</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77CA0-819B-40D9-A451-F49AAD1F6D58}">
  <sheetPr codeName="Feuil8">
    <tabColor theme="3" tint="0.39997558519241921"/>
  </sheetPr>
  <dimension ref="A2:K55"/>
  <sheetViews>
    <sheetView workbookViewId="0">
      <selection activeCell="D11" sqref="D11"/>
    </sheetView>
  </sheetViews>
  <sheetFormatPr baseColWidth="10" defaultColWidth="11.54296875" defaultRowHeight="14.5" x14ac:dyDescent="0.35"/>
  <cols>
    <col min="1" max="1" width="7.54296875" style="91" customWidth="1"/>
    <col min="2" max="2" width="92.1796875" style="91" customWidth="1"/>
    <col min="3" max="3" width="11.54296875" style="94"/>
    <col min="4" max="16384" width="11.54296875" style="91"/>
  </cols>
  <sheetData>
    <row r="2" spans="1:11" ht="23.5" x14ac:dyDescent="0.35">
      <c r="B2" s="396" t="s">
        <v>536</v>
      </c>
    </row>
    <row r="3" spans="1:11" x14ac:dyDescent="0.35">
      <c r="B3" s="576" t="s">
        <v>538</v>
      </c>
    </row>
    <row r="5" spans="1:11" ht="16" x14ac:dyDescent="0.35">
      <c r="B5" s="160"/>
    </row>
    <row r="6" spans="1:11" x14ac:dyDescent="0.35">
      <c r="B6" t="s">
        <v>625</v>
      </c>
      <c r="D6" s="573" t="s">
        <v>537</v>
      </c>
      <c r="E6" s="92"/>
      <c r="F6" s="92"/>
      <c r="G6" s="92"/>
      <c r="H6" s="92"/>
      <c r="I6" s="92"/>
      <c r="J6" s="92"/>
      <c r="K6" s="92"/>
    </row>
    <row r="7" spans="1:11" s="565" customFormat="1" x14ac:dyDescent="0.35">
      <c r="A7" s="566"/>
      <c r="B7" s="577" t="s">
        <v>654</v>
      </c>
      <c r="C7" s="567"/>
    </row>
    <row r="8" spans="1:11" s="565" customFormat="1" x14ac:dyDescent="0.35">
      <c r="A8" s="566"/>
      <c r="B8" s="577" t="s">
        <v>655</v>
      </c>
      <c r="C8" s="567"/>
    </row>
    <row r="9" spans="1:11" s="565" customFormat="1" x14ac:dyDescent="0.35">
      <c r="A9" s="566"/>
      <c r="B9" s="577" t="s">
        <v>656</v>
      </c>
      <c r="C9" s="567"/>
    </row>
    <row r="10" spans="1:11" s="565" customFormat="1" x14ac:dyDescent="0.35">
      <c r="A10" s="566"/>
      <c r="B10" s="577" t="s">
        <v>657</v>
      </c>
      <c r="C10" s="567"/>
    </row>
    <row r="11" spans="1:11" s="565" customFormat="1" x14ac:dyDescent="0.35">
      <c r="A11" s="566"/>
      <c r="B11" s="577" t="s">
        <v>658</v>
      </c>
      <c r="C11" s="567"/>
    </row>
    <row r="12" spans="1:11" s="565" customFormat="1" x14ac:dyDescent="0.35">
      <c r="A12" s="566"/>
      <c r="B12" s="577" t="s">
        <v>659</v>
      </c>
      <c r="C12" s="567"/>
    </row>
    <row r="13" spans="1:11" s="565" customFormat="1" x14ac:dyDescent="0.35">
      <c r="A13" s="566"/>
      <c r="B13" s="577"/>
      <c r="C13" s="567"/>
    </row>
    <row r="14" spans="1:11" x14ac:dyDescent="0.35">
      <c r="B14" t="s">
        <v>627</v>
      </c>
      <c r="D14" s="573" t="s">
        <v>179</v>
      </c>
      <c r="E14" s="23"/>
      <c r="F14" s="23"/>
      <c r="G14" s="23"/>
      <c r="H14" s="23"/>
    </row>
    <row r="15" spans="1:11" x14ac:dyDescent="0.35">
      <c r="B15" s="577" t="s">
        <v>660</v>
      </c>
      <c r="C15" s="95"/>
      <c r="D15" s="23"/>
      <c r="E15" s="23"/>
      <c r="F15" s="23"/>
      <c r="G15" s="23"/>
      <c r="H15" s="23"/>
    </row>
    <row r="16" spans="1:11" x14ac:dyDescent="0.35">
      <c r="B16" s="577" t="s">
        <v>666</v>
      </c>
      <c r="C16" s="95"/>
      <c r="D16" s="23"/>
      <c r="E16" s="23"/>
      <c r="F16" s="23"/>
      <c r="G16" s="23"/>
      <c r="H16" s="23"/>
    </row>
    <row r="17" spans="2:8" x14ac:dyDescent="0.35">
      <c r="B17" s="577" t="s">
        <v>667</v>
      </c>
      <c r="C17" s="95"/>
      <c r="D17" s="23"/>
      <c r="E17" s="23"/>
      <c r="F17" s="23"/>
      <c r="G17" s="23"/>
      <c r="H17" s="23"/>
    </row>
    <row r="18" spans="2:8" x14ac:dyDescent="0.35">
      <c r="B18" s="577" t="s">
        <v>668</v>
      </c>
      <c r="C18" s="95"/>
      <c r="D18" s="23"/>
      <c r="E18" s="23"/>
      <c r="F18" s="23"/>
      <c r="G18" s="23"/>
      <c r="H18" s="23"/>
    </row>
    <row r="19" spans="2:8" x14ac:dyDescent="0.35">
      <c r="B19" s="577" t="s">
        <v>669</v>
      </c>
      <c r="C19" s="95"/>
      <c r="D19" s="23"/>
      <c r="E19" s="23"/>
      <c r="F19" s="23"/>
      <c r="G19" s="23"/>
      <c r="H19" s="23"/>
    </row>
    <row r="20" spans="2:8" x14ac:dyDescent="0.35">
      <c r="B20" s="577" t="s">
        <v>670</v>
      </c>
      <c r="C20" s="95"/>
      <c r="D20" s="23"/>
      <c r="E20" s="23"/>
      <c r="F20" s="23"/>
      <c r="G20" s="23"/>
      <c r="H20" s="23"/>
    </row>
    <row r="21" spans="2:8" x14ac:dyDescent="0.35">
      <c r="B21"/>
      <c r="C21" s="95"/>
      <c r="D21" s="23"/>
      <c r="E21" s="23"/>
      <c r="F21" s="23"/>
      <c r="G21" s="23"/>
      <c r="H21" s="23"/>
    </row>
    <row r="22" spans="2:8" x14ac:dyDescent="0.35">
      <c r="B22" t="s">
        <v>626</v>
      </c>
      <c r="C22" s="91"/>
      <c r="D22" s="573" t="s">
        <v>181</v>
      </c>
      <c r="E22" s="93"/>
      <c r="F22" s="93"/>
      <c r="G22" s="93"/>
    </row>
    <row r="23" spans="2:8" x14ac:dyDescent="0.35">
      <c r="B23" s="577" t="s">
        <v>671</v>
      </c>
      <c r="C23" s="95"/>
      <c r="D23" s="93"/>
      <c r="E23" s="93"/>
      <c r="F23" s="93"/>
      <c r="G23" s="93"/>
    </row>
    <row r="24" spans="2:8" x14ac:dyDescent="0.35">
      <c r="B24" s="577" t="s">
        <v>672</v>
      </c>
      <c r="C24" s="95"/>
      <c r="D24" s="93"/>
      <c r="E24" s="93"/>
      <c r="F24" s="93"/>
      <c r="G24" s="93"/>
    </row>
    <row r="25" spans="2:8" x14ac:dyDescent="0.35">
      <c r="B25" s="577" t="s">
        <v>673</v>
      </c>
      <c r="C25" s="95"/>
      <c r="D25" s="93"/>
      <c r="E25" s="93"/>
      <c r="F25" s="93"/>
      <c r="G25" s="93"/>
    </row>
    <row r="26" spans="2:8" x14ac:dyDescent="0.35">
      <c r="B26" s="577" t="s">
        <v>674</v>
      </c>
      <c r="C26" s="95"/>
      <c r="D26" s="93"/>
      <c r="E26" s="93"/>
      <c r="F26" s="93"/>
      <c r="G26" s="93"/>
    </row>
    <row r="27" spans="2:8" x14ac:dyDescent="0.35">
      <c r="B27" s="577" t="s">
        <v>675</v>
      </c>
      <c r="C27" s="95"/>
      <c r="D27" s="93"/>
      <c r="E27" s="93"/>
      <c r="F27" s="93"/>
      <c r="G27" s="93"/>
    </row>
    <row r="28" spans="2:8" x14ac:dyDescent="0.35">
      <c r="B28" s="577" t="s">
        <v>676</v>
      </c>
      <c r="C28" s="95"/>
      <c r="D28" s="93"/>
      <c r="E28" s="93"/>
      <c r="F28" s="93"/>
      <c r="G28" s="93"/>
    </row>
    <row r="29" spans="2:8" x14ac:dyDescent="0.35">
      <c r="B29"/>
      <c r="C29" s="95"/>
      <c r="D29" s="93"/>
      <c r="E29" s="93"/>
      <c r="F29" s="93"/>
      <c r="G29" s="93"/>
    </row>
    <row r="30" spans="2:8" x14ac:dyDescent="0.35">
      <c r="B30" t="s">
        <v>628</v>
      </c>
      <c r="C30" s="91"/>
      <c r="D30" s="574" t="s">
        <v>180</v>
      </c>
    </row>
    <row r="31" spans="2:8" x14ac:dyDescent="0.35">
      <c r="B31" s="406" t="s">
        <v>677</v>
      </c>
      <c r="C31" s="95"/>
    </row>
    <row r="32" spans="2:8" x14ac:dyDescent="0.35">
      <c r="B32" s="406" t="s">
        <v>678</v>
      </c>
      <c r="D32" s="574" t="s">
        <v>19</v>
      </c>
    </row>
    <row r="33" spans="2:9" x14ac:dyDescent="0.35">
      <c r="B33" s="575" t="s">
        <v>679</v>
      </c>
      <c r="C33" s="91"/>
    </row>
    <row r="34" spans="2:9" x14ac:dyDescent="0.35">
      <c r="B34" t="s">
        <v>680</v>
      </c>
      <c r="C34" s="91"/>
    </row>
    <row r="35" spans="2:9" x14ac:dyDescent="0.35">
      <c r="B35" t="s">
        <v>681</v>
      </c>
      <c r="C35" s="91"/>
      <c r="D35" s="574" t="s">
        <v>182</v>
      </c>
    </row>
    <row r="36" spans="2:9" x14ac:dyDescent="0.35">
      <c r="B36" t="s">
        <v>682</v>
      </c>
      <c r="C36" s="91"/>
      <c r="D36" s="574" t="s">
        <v>18</v>
      </c>
    </row>
    <row r="37" spans="2:9" x14ac:dyDescent="0.35">
      <c r="B37" t="s">
        <v>683</v>
      </c>
      <c r="C37" s="91"/>
      <c r="D37" s="574"/>
    </row>
    <row r="38" spans="2:9" x14ac:dyDescent="0.35">
      <c r="B38" t="s">
        <v>684</v>
      </c>
      <c r="C38" s="91"/>
    </row>
    <row r="40" spans="2:9" ht="23.5" x14ac:dyDescent="0.35">
      <c r="B40" s="364" t="s">
        <v>541</v>
      </c>
    </row>
    <row r="41" spans="2:9" ht="14.5" customHeight="1" x14ac:dyDescent="0.35">
      <c r="B41" s="888" t="s">
        <v>542</v>
      </c>
      <c r="C41" s="888"/>
      <c r="D41" s="888"/>
      <c r="E41" s="888"/>
      <c r="F41" s="888"/>
      <c r="G41" s="888"/>
      <c r="H41" s="888"/>
      <c r="I41" s="96"/>
    </row>
    <row r="42" spans="2:9" x14ac:dyDescent="0.35">
      <c r="B42" s="888"/>
      <c r="C42" s="888"/>
      <c r="D42" s="888"/>
      <c r="E42" s="888"/>
      <c r="F42" s="888"/>
      <c r="G42" s="888"/>
      <c r="H42" s="888"/>
      <c r="I42" s="96"/>
    </row>
    <row r="43" spans="2:9" x14ac:dyDescent="0.35">
      <c r="B43" s="888"/>
      <c r="C43" s="888"/>
      <c r="D43" s="888"/>
      <c r="E43" s="888"/>
      <c r="F43" s="888"/>
      <c r="G43" s="888"/>
      <c r="H43" s="888"/>
      <c r="I43" s="96"/>
    </row>
    <row r="44" spans="2:9" x14ac:dyDescent="0.35">
      <c r="B44" t="s">
        <v>543</v>
      </c>
      <c r="C44"/>
      <c r="D44"/>
      <c r="E44"/>
      <c r="F44"/>
      <c r="G44"/>
      <c r="H44"/>
    </row>
    <row r="46" spans="2:9" ht="23.5" x14ac:dyDescent="0.35">
      <c r="B46" s="364" t="s">
        <v>544</v>
      </c>
    </row>
    <row r="48" spans="2:9" x14ac:dyDescent="0.35">
      <c r="B48" t="s">
        <v>545</v>
      </c>
    </row>
    <row r="49" spans="2:2" x14ac:dyDescent="0.35">
      <c r="B49" t="s">
        <v>546</v>
      </c>
    </row>
    <row r="51" spans="2:2" ht="16.5" x14ac:dyDescent="0.35">
      <c r="B51" s="365" t="s">
        <v>547</v>
      </c>
    </row>
    <row r="53" spans="2:2" ht="23.5" x14ac:dyDescent="0.35">
      <c r="B53" s="364" t="s">
        <v>549</v>
      </c>
    </row>
    <row r="55" spans="2:2" x14ac:dyDescent="0.35">
      <c r="B55" t="s">
        <v>550</v>
      </c>
    </row>
  </sheetData>
  <mergeCells count="1">
    <mergeCell ref="B41:H43"/>
  </mergeCells>
  <hyperlinks>
    <hyperlink ref="B51" location="Calendrier" display="Cf. Calendrier" xr:uid="{7CE27872-7463-4E07-BB60-D830228493F5}"/>
  </hyperlinks>
  <pageMargins left="0.7" right="0.7" top="0.75" bottom="0.75" header="0.3" footer="0.3"/>
  <pageSetup paperSize="9" orientation="portrait" horizontalDpi="4294967293" verticalDpi="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079A1-423F-4A03-9F04-A0EB1588F0F6}">
  <sheetPr codeName="Feuil9">
    <tabColor theme="3" tint="0.59999389629810485"/>
  </sheetPr>
  <dimension ref="B1:T59"/>
  <sheetViews>
    <sheetView workbookViewId="0">
      <selection activeCell="F23" sqref="F23"/>
    </sheetView>
  </sheetViews>
  <sheetFormatPr baseColWidth="10" defaultColWidth="10.81640625" defaultRowHeight="14.5" x14ac:dyDescent="0.35"/>
  <cols>
    <col min="1" max="1" width="6.54296875" style="378" customWidth="1"/>
    <col min="2" max="5" width="14.81640625" style="378" customWidth="1"/>
    <col min="6" max="7" width="14.81640625" style="375" customWidth="1"/>
    <col min="8" max="8" width="3.54296875" style="376" customWidth="1"/>
    <col min="9" max="11" width="10.81640625" style="377"/>
    <col min="12" max="12" width="3.54296875" style="377" customWidth="1"/>
    <col min="13" max="20" width="10.81640625" style="377"/>
    <col min="21" max="16384" width="10.81640625" style="378"/>
  </cols>
  <sheetData>
    <row r="1" spans="2:20" s="367" customFormat="1" ht="24.5" x14ac:dyDescent="0.35">
      <c r="B1" s="382" t="s">
        <v>404</v>
      </c>
      <c r="C1" s="382" t="s">
        <v>405</v>
      </c>
      <c r="D1" s="382" t="s">
        <v>712</v>
      </c>
      <c r="E1" s="382" t="s">
        <v>642</v>
      </c>
      <c r="F1" s="366" t="s">
        <v>551</v>
      </c>
      <c r="H1" s="368"/>
      <c r="I1" s="386" t="s">
        <v>435</v>
      </c>
      <c r="J1" s="370"/>
      <c r="K1" s="370"/>
      <c r="L1" s="370"/>
      <c r="M1" s="370"/>
      <c r="N1" s="370"/>
      <c r="O1" s="371"/>
      <c r="P1" s="371"/>
      <c r="Q1" s="371"/>
      <c r="R1" s="371"/>
      <c r="S1" s="371"/>
      <c r="T1" s="371"/>
    </row>
    <row r="2" spans="2:20" s="367" customFormat="1" ht="15.5" x14ac:dyDescent="0.35">
      <c r="B2" s="730">
        <v>46160</v>
      </c>
      <c r="C2" s="730">
        <v>46329</v>
      </c>
      <c r="D2" s="731">
        <v>46315</v>
      </c>
      <c r="E2" s="730">
        <v>46294</v>
      </c>
      <c r="F2" s="372"/>
      <c r="H2" s="368"/>
      <c r="I2" s="369"/>
      <c r="J2" s="370"/>
      <c r="K2" s="370"/>
      <c r="L2" s="370"/>
      <c r="M2" s="370"/>
      <c r="N2" s="370"/>
      <c r="O2" s="371"/>
      <c r="P2" s="371"/>
      <c r="Q2" s="371"/>
      <c r="R2" s="371"/>
      <c r="S2" s="371"/>
      <c r="T2" s="371"/>
    </row>
    <row r="3" spans="2:20" s="367" customFormat="1" ht="14.9" customHeight="1" x14ac:dyDescent="0.35">
      <c r="B3" s="730">
        <v>46125</v>
      </c>
      <c r="C3" s="730">
        <v>46294</v>
      </c>
      <c r="D3" s="731">
        <v>46280</v>
      </c>
      <c r="E3" s="730">
        <v>46259</v>
      </c>
      <c r="F3" s="372"/>
      <c r="H3" s="373"/>
      <c r="I3" s="889" t="s">
        <v>710</v>
      </c>
      <c r="J3" s="889"/>
      <c r="K3" s="889"/>
      <c r="L3" s="889"/>
      <c r="M3" s="889"/>
      <c r="N3" s="889"/>
      <c r="O3" s="371"/>
      <c r="P3" s="371"/>
      <c r="Q3" s="371"/>
      <c r="R3" s="371"/>
      <c r="S3" s="371"/>
      <c r="T3" s="371"/>
    </row>
    <row r="4" spans="2:20" s="367" customFormat="1" x14ac:dyDescent="0.35">
      <c r="B4" s="730">
        <v>46017</v>
      </c>
      <c r="C4" s="730">
        <v>46184</v>
      </c>
      <c r="D4" s="731">
        <v>46171</v>
      </c>
      <c r="E4" s="730">
        <v>46149</v>
      </c>
      <c r="F4" s="372"/>
      <c r="H4" s="373"/>
      <c r="I4" s="889"/>
      <c r="J4" s="889"/>
      <c r="K4" s="889"/>
      <c r="L4" s="889"/>
      <c r="M4" s="889"/>
      <c r="N4" s="889"/>
      <c r="O4" s="371"/>
      <c r="P4" s="371"/>
      <c r="Q4" s="371"/>
      <c r="R4" s="371"/>
      <c r="S4" s="371"/>
      <c r="T4" s="371"/>
    </row>
    <row r="5" spans="2:20" s="367" customFormat="1" x14ac:dyDescent="0.35">
      <c r="B5" s="730">
        <v>45945</v>
      </c>
      <c r="C5" s="730">
        <v>46112</v>
      </c>
      <c r="D5" s="731">
        <v>46099</v>
      </c>
      <c r="E5" s="730">
        <v>46078</v>
      </c>
      <c r="F5" s="372"/>
      <c r="H5" s="373"/>
      <c r="I5" s="889"/>
      <c r="J5" s="889"/>
      <c r="K5" s="889"/>
      <c r="L5" s="889"/>
      <c r="M5" s="889"/>
      <c r="N5" s="889"/>
      <c r="O5" s="371"/>
      <c r="P5" s="371"/>
      <c r="Q5" s="371"/>
      <c r="R5" s="371"/>
      <c r="S5" s="371"/>
      <c r="T5" s="371"/>
    </row>
    <row r="6" spans="2:20" s="367" customFormat="1" x14ac:dyDescent="0.35">
      <c r="B6" s="730">
        <v>45887</v>
      </c>
      <c r="C6" s="730" t="s">
        <v>711</v>
      </c>
      <c r="D6" s="731">
        <v>46043</v>
      </c>
      <c r="E6" s="730">
        <v>46021</v>
      </c>
      <c r="F6" s="372"/>
      <c r="H6" s="373"/>
      <c r="I6" s="889"/>
      <c r="J6" s="889"/>
      <c r="K6" s="889"/>
      <c r="L6" s="889"/>
      <c r="M6" s="889"/>
      <c r="N6" s="889"/>
      <c r="O6" s="371"/>
      <c r="P6" s="371"/>
      <c r="Q6" s="371"/>
      <c r="R6" s="371"/>
      <c r="S6" s="371"/>
      <c r="T6" s="371"/>
    </row>
    <row r="7" spans="2:20" s="367" customFormat="1" x14ac:dyDescent="0.35">
      <c r="B7" s="383"/>
      <c r="C7" s="383"/>
      <c r="D7" s="384" t="str">
        <f>IF(B7=0,"",B7-30)</f>
        <v/>
      </c>
      <c r="E7" s="385"/>
      <c r="H7" s="373"/>
      <c r="I7" s="374"/>
      <c r="J7" s="371"/>
      <c r="K7" s="371"/>
      <c r="L7" s="371"/>
      <c r="M7" s="371"/>
      <c r="N7" s="371"/>
      <c r="O7" s="371"/>
      <c r="P7" s="371"/>
      <c r="Q7" s="371"/>
      <c r="R7" s="371"/>
      <c r="S7" s="371"/>
      <c r="T7" s="371"/>
    </row>
    <row r="8" spans="2:20" ht="15" customHeight="1" x14ac:dyDescent="0.35">
      <c r="B8" s="384"/>
      <c r="C8" s="384"/>
      <c r="D8" s="384"/>
      <c r="E8" s="385"/>
    </row>
    <row r="9" spans="2:20" ht="15" customHeight="1" x14ac:dyDescent="0.35">
      <c r="B9" s="384"/>
      <c r="C9" s="384"/>
      <c r="D9" s="384"/>
      <c r="E9" s="385"/>
      <c r="I9" s="889" t="s">
        <v>447</v>
      </c>
      <c r="J9" s="889"/>
      <c r="K9" s="889"/>
      <c r="L9" s="889"/>
      <c r="M9" s="889"/>
      <c r="N9" s="889"/>
    </row>
    <row r="10" spans="2:20" ht="15" customHeight="1" x14ac:dyDescent="0.35">
      <c r="B10" s="384"/>
      <c r="C10" s="384"/>
      <c r="D10" s="384"/>
      <c r="E10" s="385"/>
    </row>
    <row r="11" spans="2:20" ht="15" customHeight="1" x14ac:dyDescent="0.35"/>
    <row r="12" spans="2:20" ht="15" customHeight="1" x14ac:dyDescent="0.35">
      <c r="B12" s="379"/>
      <c r="C12" s="379"/>
      <c r="D12" s="379"/>
      <c r="E12" s="379"/>
    </row>
    <row r="13" spans="2:20" ht="15" customHeight="1" x14ac:dyDescent="0.35">
      <c r="B13" s="379"/>
      <c r="C13" s="379"/>
      <c r="D13" s="379"/>
      <c r="E13" s="379"/>
    </row>
    <row r="14" spans="2:20" ht="15" customHeight="1" x14ac:dyDescent="0.35">
      <c r="B14" s="379"/>
      <c r="C14" s="379"/>
      <c r="D14" s="379"/>
      <c r="E14" s="379"/>
    </row>
    <row r="15" spans="2:20" ht="15" customHeight="1" x14ac:dyDescent="0.35">
      <c r="B15" s="379"/>
      <c r="C15" s="379"/>
      <c r="D15" s="379"/>
      <c r="E15" s="379"/>
    </row>
    <row r="16" spans="2:20" x14ac:dyDescent="0.35">
      <c r="B16" s="379"/>
      <c r="C16" s="379"/>
      <c r="D16" s="379"/>
      <c r="E16" s="379"/>
    </row>
    <row r="17" spans="2:5" ht="15" customHeight="1" x14ac:dyDescent="0.35">
      <c r="B17" s="380"/>
      <c r="C17" s="380"/>
      <c r="D17" s="380"/>
      <c r="E17" s="380"/>
    </row>
    <row r="18" spans="2:5" ht="15" customHeight="1" x14ac:dyDescent="0.35">
      <c r="B18" s="381"/>
      <c r="C18" s="381"/>
      <c r="D18" s="381"/>
      <c r="E18" s="381"/>
    </row>
    <row r="19" spans="2:5" ht="15" customHeight="1" x14ac:dyDescent="0.35">
      <c r="B19" s="381"/>
      <c r="C19" s="381"/>
      <c r="D19" s="381"/>
      <c r="E19" s="381"/>
    </row>
    <row r="20" spans="2:5" ht="15" customHeight="1" x14ac:dyDescent="0.35">
      <c r="B20" s="381"/>
      <c r="C20" s="381"/>
      <c r="D20" s="381"/>
      <c r="E20" s="381"/>
    </row>
    <row r="21" spans="2:5" ht="15" customHeight="1" x14ac:dyDescent="0.35">
      <c r="B21" s="381"/>
      <c r="C21" s="381"/>
      <c r="D21" s="381"/>
      <c r="E21" s="381"/>
    </row>
    <row r="22" spans="2:5" ht="15" customHeight="1" x14ac:dyDescent="0.35">
      <c r="B22" s="381"/>
      <c r="C22" s="381"/>
      <c r="D22" s="381"/>
      <c r="E22" s="381"/>
    </row>
    <row r="23" spans="2:5" ht="15" customHeight="1" x14ac:dyDescent="0.35">
      <c r="B23" s="381"/>
      <c r="C23" s="381"/>
      <c r="D23" s="381"/>
      <c r="E23" s="381"/>
    </row>
    <row r="24" spans="2:5" ht="15" customHeight="1" x14ac:dyDescent="0.35">
      <c r="B24" s="381"/>
      <c r="C24" s="381"/>
      <c r="D24" s="381"/>
      <c r="E24" s="381"/>
    </row>
    <row r="25" spans="2:5" ht="15" customHeight="1" x14ac:dyDescent="0.35">
      <c r="B25" s="381"/>
      <c r="C25" s="381"/>
      <c r="D25" s="381"/>
      <c r="E25" s="381"/>
    </row>
    <row r="26" spans="2:5" ht="15" customHeight="1" x14ac:dyDescent="0.35">
      <c r="B26" s="381"/>
      <c r="C26" s="381"/>
      <c r="D26" s="381"/>
      <c r="E26" s="381"/>
    </row>
    <row r="27" spans="2:5" ht="15" customHeight="1" x14ac:dyDescent="0.35">
      <c r="B27" s="381"/>
      <c r="C27" s="381"/>
      <c r="D27" s="381"/>
      <c r="E27" s="381"/>
    </row>
    <row r="28" spans="2:5" ht="15" customHeight="1" x14ac:dyDescent="0.35">
      <c r="B28" s="381"/>
      <c r="C28" s="381"/>
      <c r="D28" s="381"/>
      <c r="E28" s="381"/>
    </row>
    <row r="29" spans="2:5" ht="15" customHeight="1" x14ac:dyDescent="0.35">
      <c r="B29" s="381"/>
      <c r="C29" s="381"/>
      <c r="D29" s="381"/>
      <c r="E29" s="381"/>
    </row>
    <row r="30" spans="2:5" ht="15" customHeight="1" x14ac:dyDescent="0.35">
      <c r="B30" s="381"/>
      <c r="C30" s="381"/>
      <c r="D30" s="381"/>
      <c r="E30" s="381"/>
    </row>
    <row r="31" spans="2:5" ht="15" customHeight="1" x14ac:dyDescent="0.35">
      <c r="B31" s="381"/>
      <c r="C31" s="380"/>
      <c r="D31" s="381"/>
      <c r="E31" s="381"/>
    </row>
    <row r="32" spans="2:5" ht="15" customHeight="1" x14ac:dyDescent="0.35">
      <c r="B32" s="381"/>
      <c r="C32" s="381"/>
      <c r="D32" s="380"/>
      <c r="E32" s="381"/>
    </row>
    <row r="33" ht="15" customHeight="1" x14ac:dyDescent="0.35"/>
    <row r="34" ht="15" customHeight="1" x14ac:dyDescent="0.35"/>
    <row r="35" ht="15" customHeight="1" x14ac:dyDescent="0.35"/>
    <row r="36" ht="15" customHeight="1" x14ac:dyDescent="0.35"/>
    <row r="37" ht="15" customHeight="1" x14ac:dyDescent="0.35"/>
    <row r="38" ht="15" customHeight="1" x14ac:dyDescent="0.35"/>
    <row r="53" spans="2:5" x14ac:dyDescent="0.35">
      <c r="B53" s="379"/>
      <c r="C53" s="379"/>
      <c r="D53" s="379"/>
      <c r="E53" s="379"/>
    </row>
    <row r="54" spans="2:5" x14ac:dyDescent="0.35">
      <c r="B54" s="379"/>
      <c r="C54" s="379"/>
      <c r="D54" s="379"/>
      <c r="E54" s="379"/>
    </row>
    <row r="55" spans="2:5" x14ac:dyDescent="0.35">
      <c r="B55" s="379"/>
      <c r="C55" s="379"/>
      <c r="D55" s="379"/>
      <c r="E55" s="379"/>
    </row>
    <row r="56" spans="2:5" x14ac:dyDescent="0.35">
      <c r="B56" s="379"/>
      <c r="C56" s="379"/>
      <c r="D56" s="379"/>
      <c r="E56" s="379"/>
    </row>
    <row r="57" spans="2:5" x14ac:dyDescent="0.35">
      <c r="B57" s="379"/>
      <c r="C57" s="379"/>
      <c r="D57" s="379"/>
      <c r="E57" s="379"/>
    </row>
    <row r="58" spans="2:5" x14ac:dyDescent="0.35">
      <c r="B58" s="379"/>
      <c r="C58" s="379"/>
      <c r="D58" s="379"/>
      <c r="E58" s="379"/>
    </row>
    <row r="59" spans="2:5" x14ac:dyDescent="0.35">
      <c r="B59" s="379"/>
      <c r="C59" s="379"/>
      <c r="D59" s="379"/>
      <c r="E59" s="379"/>
    </row>
  </sheetData>
  <autoFilter ref="B1:E1" xr:uid="{337063BD-D083-4C83-B170-3AD5F666E5E0}">
    <sortState xmlns:xlrd2="http://schemas.microsoft.com/office/spreadsheetml/2017/richdata2" ref="B2:E7">
      <sortCondition descending="1" ref="B1"/>
    </sortState>
  </autoFilter>
  <mergeCells count="2">
    <mergeCell ref="I3:N6"/>
    <mergeCell ref="I9:N9"/>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AD00B-B235-453D-A9BA-E1BD98B4E13C}">
  <sheetPr codeName="Feuil10">
    <tabColor rgb="FFFFFF99"/>
  </sheetPr>
  <dimension ref="A1:I2"/>
  <sheetViews>
    <sheetView workbookViewId="0">
      <selection activeCell="A2" sqref="A2"/>
    </sheetView>
  </sheetViews>
  <sheetFormatPr baseColWidth="10" defaultRowHeight="14.5" x14ac:dyDescent="0.35"/>
  <sheetData>
    <row r="1" spans="1:9" x14ac:dyDescent="0.35">
      <c r="A1" s="252" t="s">
        <v>519</v>
      </c>
      <c r="B1" s="252" t="s">
        <v>520</v>
      </c>
      <c r="C1" s="252" t="s">
        <v>521</v>
      </c>
      <c r="D1" s="252" t="s">
        <v>554</v>
      </c>
      <c r="E1" s="252" t="s">
        <v>522</v>
      </c>
      <c r="F1" s="252" t="s">
        <v>523</v>
      </c>
      <c r="G1" s="252" t="s">
        <v>524</v>
      </c>
      <c r="H1" s="252" t="s">
        <v>525</v>
      </c>
      <c r="I1" s="252" t="s">
        <v>526</v>
      </c>
    </row>
    <row r="2" spans="1:9" s="255" customFormat="1" x14ac:dyDescent="0.35">
      <c r="A2" s="253"/>
      <c r="B2" s="254"/>
      <c r="C2" s="254"/>
      <c r="D2" s="254"/>
      <c r="E2" s="253"/>
      <c r="F2" s="254"/>
      <c r="G2" s="254"/>
      <c r="H2" s="254"/>
      <c r="I2" s="25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72</vt:i4>
      </vt:variant>
    </vt:vector>
  </HeadingPairs>
  <TitlesOfParts>
    <vt:vector size="85" baseType="lpstr">
      <vt:lpstr>Administratif</vt:lpstr>
      <vt:lpstr>Pièces à fournir</vt:lpstr>
      <vt:lpstr>Plan de financement</vt:lpstr>
      <vt:lpstr>Formulaire</vt:lpstr>
      <vt:lpstr>Si inter-organisme</vt:lpstr>
      <vt:lpstr>Avis CPR (ar)</vt:lpstr>
      <vt:lpstr>Thèmes éligibles</vt:lpstr>
      <vt:lpstr>Calendrier</vt:lpstr>
      <vt:lpstr>Access</vt:lpstr>
      <vt:lpstr>Taux de financement</vt:lpstr>
      <vt:lpstr>Publipostage</vt:lpstr>
      <vt:lpstr>Paramètres</vt:lpstr>
      <vt:lpstr>Région</vt:lpstr>
      <vt:lpstr>Adresse1</vt:lpstr>
      <vt:lpstr>Adresse2</vt:lpstr>
      <vt:lpstr>aide</vt:lpstr>
      <vt:lpstr>Calendrier</vt:lpstr>
      <vt:lpstr>charges</vt:lpstr>
      <vt:lpstr>Codep</vt:lpstr>
      <vt:lpstr>coeff</vt:lpstr>
      <vt:lpstr>CP</vt:lpstr>
      <vt:lpstr>CPR</vt:lpstr>
      <vt:lpstr>date</vt:lpstr>
      <vt:lpstr>DateFSI</vt:lpstr>
      <vt:lpstr>dépense</vt:lpstr>
      <vt:lpstr>description</vt:lpstr>
      <vt:lpstr>DG</vt:lpstr>
      <vt:lpstr>dpt</vt:lpstr>
      <vt:lpstr>durée</vt:lpstr>
      <vt:lpstr>échéancier</vt:lpstr>
      <vt:lpstr>Famille</vt:lpstr>
      <vt:lpstr>FP</vt:lpstr>
      <vt:lpstr>inflation</vt:lpstr>
      <vt:lpstr>instruteur</vt:lpstr>
      <vt:lpstr>inter</vt:lpstr>
      <vt:lpstr>mail</vt:lpstr>
      <vt:lpstr>Pièce1</vt:lpstr>
      <vt:lpstr>Pièce10</vt:lpstr>
      <vt:lpstr>Pièce11</vt:lpstr>
      <vt:lpstr>Pièce12</vt:lpstr>
      <vt:lpstr>Pièce13</vt:lpstr>
      <vt:lpstr>Pièce2</vt:lpstr>
      <vt:lpstr>Pièce4</vt:lpstr>
      <vt:lpstr>Pièce5</vt:lpstr>
      <vt:lpstr>Pièce6</vt:lpstr>
      <vt:lpstr>Pièce7</vt:lpstr>
      <vt:lpstr>Pièce8</vt:lpstr>
      <vt:lpstr>Pièce9</vt:lpstr>
      <vt:lpstr>plafond</vt:lpstr>
      <vt:lpstr>porteur</vt:lpstr>
      <vt:lpstr>prestataire1</vt:lpstr>
      <vt:lpstr>prestataire10</vt:lpstr>
      <vt:lpstr>prestataire11</vt:lpstr>
      <vt:lpstr>prestataire12</vt:lpstr>
      <vt:lpstr>prestataire13</vt:lpstr>
      <vt:lpstr>prestataire2</vt:lpstr>
      <vt:lpstr>prestataire3</vt:lpstr>
      <vt:lpstr>prestataire4</vt:lpstr>
      <vt:lpstr>prestataire5</vt:lpstr>
      <vt:lpstr>prestataire6</vt:lpstr>
      <vt:lpstr>prestataire7</vt:lpstr>
      <vt:lpstr>prestataire9</vt:lpstr>
      <vt:lpstr>prestataires</vt:lpstr>
      <vt:lpstr>Projet</vt:lpstr>
      <vt:lpstr>région</vt:lpstr>
      <vt:lpstr>Resp</vt:lpstr>
      <vt:lpstr>Salaire1</vt:lpstr>
      <vt:lpstr>Salaire2</vt:lpstr>
      <vt:lpstr>Salaire3</vt:lpstr>
      <vt:lpstr>Salaire4</vt:lpstr>
      <vt:lpstr>salairemax</vt:lpstr>
      <vt:lpstr>service</vt:lpstr>
      <vt:lpstr>Siren</vt:lpstr>
      <vt:lpstr>SIRET</vt:lpstr>
      <vt:lpstr>taux</vt:lpstr>
      <vt:lpstr>Tél</vt:lpstr>
      <vt:lpstr>thème</vt:lpstr>
      <vt:lpstr>Type</vt:lpstr>
      <vt:lpstr>VILLE</vt:lpstr>
      <vt:lpstr>Villeols</vt:lpstr>
      <vt:lpstr>Administratif!Zone_d_impression</vt:lpstr>
      <vt:lpstr>'Avis CPR (ar)'!Zone_d_impression</vt:lpstr>
      <vt:lpstr>Formulaire!Zone_d_impression</vt:lpstr>
      <vt:lpstr>'Plan de financement'!Zone_d_impression</vt:lpstr>
      <vt:lpstr>'Si inter-organisme'!Zone_d_impression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Tixier</dc:creator>
  <cp:lastModifiedBy>Catherine HLUSZKO</cp:lastModifiedBy>
  <cp:lastPrinted>2025-10-08T15:49:58Z</cp:lastPrinted>
  <dcterms:created xsi:type="dcterms:W3CDTF">2015-03-16T09:40:36Z</dcterms:created>
  <dcterms:modified xsi:type="dcterms:W3CDTF">2026-02-03T08:43:25Z</dcterms:modified>
</cp:coreProperties>
</file>